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ahan0514\Desktop\The Model Farm, SATURN\"/>
    </mc:Choice>
  </mc:AlternateContent>
  <xr:revisionPtr revIDLastSave="0" documentId="13_ncr:1_{5DFE7C5C-0E02-4EAF-BDC2-5E3412F14039}" xr6:coauthVersionLast="46" xr6:coauthVersionMax="46" xr10:uidLastSave="{00000000-0000-0000-0000-000000000000}"/>
  <bookViews>
    <workbookView xWindow="22932" yWindow="-108" windowWidth="30936" windowHeight="16896" xr2:uid="{3E2610D7-B575-4FC6-8D02-FCF7B0AB98F0}"/>
  </bookViews>
  <sheets>
    <sheet name="Harvest 2019" sheetId="1" r:id="rId1"/>
    <sheet name="Harvest 2020" sheetId="2" r:id="rId2"/>
    <sheet name="Harvest 2021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3" i="3" l="1"/>
  <c r="AM3" i="2"/>
  <c r="T3" i="1"/>
  <c r="F3" i="1"/>
  <c r="H3" i="1"/>
  <c r="I3" i="1"/>
  <c r="J3" i="1"/>
  <c r="K3" i="1"/>
  <c r="L3" i="1"/>
  <c r="M3" i="1"/>
  <c r="N3" i="1"/>
  <c r="O3" i="1"/>
  <c r="P3" i="1"/>
  <c r="Q3" i="1"/>
  <c r="R3" i="1"/>
  <c r="S3" i="1"/>
  <c r="E3" i="1"/>
  <c r="F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E107" i="1"/>
  <c r="D7" i="1" l="1"/>
  <c r="D8" i="1"/>
  <c r="X8" i="1"/>
  <c r="X7" i="1"/>
  <c r="F3" i="2" l="1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E3" i="2"/>
  <c r="X6" i="1"/>
  <c r="D6" i="1"/>
  <c r="D23" i="1"/>
  <c r="X23" i="1"/>
  <c r="D24" i="1"/>
  <c r="X24" i="1"/>
  <c r="D25" i="1"/>
  <c r="X25" i="1"/>
  <c r="AE134" i="3"/>
  <c r="AC132" i="3"/>
  <c r="Y132" i="3"/>
  <c r="N132" i="3"/>
  <c r="M132" i="3"/>
  <c r="G132" i="3"/>
  <c r="F132" i="3"/>
  <c r="E132" i="3"/>
  <c r="AE130" i="3"/>
  <c r="D130" i="3"/>
  <c r="AE129" i="3"/>
  <c r="D129" i="3"/>
  <c r="AE128" i="3"/>
  <c r="D128" i="3"/>
  <c r="AE127" i="3"/>
  <c r="D127" i="3"/>
  <c r="AE126" i="3"/>
  <c r="D126" i="3"/>
  <c r="AE125" i="3"/>
  <c r="D125" i="3"/>
  <c r="AE124" i="3"/>
  <c r="D124" i="3"/>
  <c r="AE123" i="3"/>
  <c r="D123" i="3"/>
  <c r="AE122" i="3"/>
  <c r="D122" i="3"/>
  <c r="AD118" i="3"/>
  <c r="AE118" i="3" s="1"/>
  <c r="AG118" i="3" s="1"/>
  <c r="S113" i="3"/>
  <c r="R113" i="3"/>
  <c r="S112" i="3"/>
  <c r="R112" i="3"/>
  <c r="P112" i="3"/>
  <c r="S111" i="3"/>
  <c r="R111" i="3"/>
  <c r="S110" i="3"/>
  <c r="R110" i="3"/>
  <c r="S109" i="3"/>
  <c r="R109" i="3"/>
  <c r="W108" i="3"/>
  <c r="U108" i="3"/>
  <c r="S108" i="3"/>
  <c r="R108" i="3"/>
  <c r="O107" i="3"/>
  <c r="AE107" i="3" s="1"/>
  <c r="S102" i="3"/>
  <c r="R102" i="3"/>
  <c r="S101" i="3"/>
  <c r="AE101" i="3" s="1"/>
  <c r="AG101" i="3" s="1"/>
  <c r="AG100" i="3"/>
  <c r="D100" i="3"/>
  <c r="AD99" i="3"/>
  <c r="Z99" i="3"/>
  <c r="Z3" i="3" s="1"/>
  <c r="X99" i="3"/>
  <c r="X132" i="3" s="1"/>
  <c r="AE98" i="3"/>
  <c r="AG98" i="3" s="1"/>
  <c r="D98" i="3"/>
  <c r="S97" i="3"/>
  <c r="P97" i="3"/>
  <c r="O97" i="3"/>
  <c r="S96" i="3"/>
  <c r="D96" i="3" s="1"/>
  <c r="P91" i="3"/>
  <c r="AE91" i="3" s="1"/>
  <c r="AG91" i="3" s="1"/>
  <c r="AE90" i="3"/>
  <c r="AG90" i="3" s="1"/>
  <c r="D90" i="3"/>
  <c r="P85" i="3"/>
  <c r="AE85" i="3" s="1"/>
  <c r="AG85" i="3" s="1"/>
  <c r="S80" i="3"/>
  <c r="AE80" i="3" s="1"/>
  <c r="AG80" i="3" s="1"/>
  <c r="S79" i="3"/>
  <c r="L79" i="3"/>
  <c r="O78" i="3"/>
  <c r="L78" i="3"/>
  <c r="K78" i="3"/>
  <c r="K3" i="3" s="1"/>
  <c r="S73" i="3"/>
  <c r="AE73" i="3" s="1"/>
  <c r="AG73" i="3" s="1"/>
  <c r="S72" i="3"/>
  <c r="AE72" i="3" s="1"/>
  <c r="AG72" i="3" s="1"/>
  <c r="AE71" i="3"/>
  <c r="AG71" i="3" s="1"/>
  <c r="D71" i="3"/>
  <c r="AE70" i="3"/>
  <c r="AG70" i="3" s="1"/>
  <c r="D70" i="3"/>
  <c r="AE69" i="3"/>
  <c r="AG69" i="3" s="1"/>
  <c r="D69" i="3"/>
  <c r="O68" i="3"/>
  <c r="D68" i="3" s="1"/>
  <c r="S67" i="3"/>
  <c r="O67" i="3"/>
  <c r="S66" i="3"/>
  <c r="O66" i="3"/>
  <c r="AA65" i="3"/>
  <c r="AA3" i="3" s="1"/>
  <c r="O65" i="3"/>
  <c r="AE60" i="3"/>
  <c r="AG60" i="3" s="1"/>
  <c r="D60" i="3"/>
  <c r="AE59" i="3"/>
  <c r="AG59" i="3" s="1"/>
  <c r="D59" i="3"/>
  <c r="AE54" i="3"/>
  <c r="AG54" i="3" s="1"/>
  <c r="D54" i="3"/>
  <c r="AE53" i="3"/>
  <c r="AG53" i="3" s="1"/>
  <c r="D53" i="3"/>
  <c r="S52" i="3"/>
  <c r="AE52" i="3" s="1"/>
  <c r="AG52" i="3" s="1"/>
  <c r="AD51" i="3"/>
  <c r="AB51" i="3"/>
  <c r="S50" i="3"/>
  <c r="D50" i="3" s="1"/>
  <c r="AE49" i="3"/>
  <c r="AG49" i="3" s="1"/>
  <c r="D49" i="3"/>
  <c r="O48" i="3"/>
  <c r="AE48" i="3" s="1"/>
  <c r="AG48" i="3" s="1"/>
  <c r="S47" i="3"/>
  <c r="D47" i="3" s="1"/>
  <c r="S46" i="3"/>
  <c r="P46" i="3"/>
  <c r="AE45" i="3"/>
  <c r="AG45" i="3" s="1"/>
  <c r="D45" i="3"/>
  <c r="AE44" i="3"/>
  <c r="AG44" i="3" s="1"/>
  <c r="D44" i="3"/>
  <c r="S40" i="3"/>
  <c r="O40" i="3"/>
  <c r="AE39" i="3"/>
  <c r="AG39" i="3" s="1"/>
  <c r="D39" i="3"/>
  <c r="AE38" i="3"/>
  <c r="AG38" i="3" s="1"/>
  <c r="D38" i="3"/>
  <c r="U37" i="3"/>
  <c r="T37" i="3"/>
  <c r="T132" i="3" s="1"/>
  <c r="S37" i="3"/>
  <c r="P37" i="3"/>
  <c r="O37" i="3"/>
  <c r="W36" i="3"/>
  <c r="U36" i="3"/>
  <c r="S36" i="3"/>
  <c r="P36" i="3"/>
  <c r="O36" i="3"/>
  <c r="AE31" i="3"/>
  <c r="AG31" i="3" s="1"/>
  <c r="D31" i="3"/>
  <c r="S30" i="3"/>
  <c r="D30" i="3" s="1"/>
  <c r="AE29" i="3"/>
  <c r="AG29" i="3" s="1"/>
  <c r="D29" i="3"/>
  <c r="AE28" i="3"/>
  <c r="AG28" i="3" s="1"/>
  <c r="D28" i="3"/>
  <c r="AE27" i="3"/>
  <c r="AG27" i="3" s="1"/>
  <c r="D27" i="3"/>
  <c r="AD26" i="3"/>
  <c r="V26" i="3"/>
  <c r="V132" i="3" s="1"/>
  <c r="S26" i="3"/>
  <c r="H26" i="3"/>
  <c r="H3" i="3" s="1"/>
  <c r="AE22" i="3"/>
  <c r="D22" i="3"/>
  <c r="I21" i="3"/>
  <c r="I3" i="3" s="1"/>
  <c r="AE20" i="3"/>
  <c r="AG20" i="3" s="1"/>
  <c r="D20" i="3"/>
  <c r="AE19" i="3"/>
  <c r="AG19" i="3" s="1"/>
  <c r="D19" i="3"/>
  <c r="AE18" i="3"/>
  <c r="AG18" i="3" s="1"/>
  <c r="D18" i="3"/>
  <c r="AE17" i="3"/>
  <c r="AG17" i="3" s="1"/>
  <c r="D17" i="3"/>
  <c r="AE16" i="3"/>
  <c r="AG16" i="3" s="1"/>
  <c r="D16" i="3"/>
  <c r="AE15" i="3"/>
  <c r="AG15" i="3" s="1"/>
  <c r="D15" i="3"/>
  <c r="AE14" i="3"/>
  <c r="AG14" i="3" s="1"/>
  <c r="D14" i="3"/>
  <c r="AE13" i="3"/>
  <c r="AG13" i="3" s="1"/>
  <c r="D13" i="3"/>
  <c r="L12" i="3"/>
  <c r="AE12" i="3" s="1"/>
  <c r="AG12" i="3" s="1"/>
  <c r="AE11" i="3"/>
  <c r="AG11" i="3" s="1"/>
  <c r="D11" i="3"/>
  <c r="S10" i="3"/>
  <c r="AE10" i="3" s="1"/>
  <c r="AG10" i="3" s="1"/>
  <c r="D10" i="3"/>
  <c r="S9" i="3"/>
  <c r="D9" i="3" s="1"/>
  <c r="S8" i="3"/>
  <c r="AE8" i="3" s="1"/>
  <c r="AG8" i="3" s="1"/>
  <c r="S7" i="3"/>
  <c r="Q7" i="3"/>
  <c r="Q3" i="3" s="1"/>
  <c r="O7" i="3"/>
  <c r="J7" i="3"/>
  <c r="J132" i="3" s="1"/>
  <c r="AE6" i="3"/>
  <c r="AG6" i="3" s="1"/>
  <c r="AC3" i="3"/>
  <c r="Y3" i="3"/>
  <c r="N3" i="3"/>
  <c r="M3" i="3"/>
  <c r="G3" i="3"/>
  <c r="F3" i="3"/>
  <c r="E3" i="3"/>
  <c r="X3" i="3" l="1"/>
  <c r="D12" i="3"/>
  <c r="D66" i="3"/>
  <c r="D8" i="3"/>
  <c r="D67" i="3"/>
  <c r="D109" i="3"/>
  <c r="D37" i="3"/>
  <c r="AE21" i="3"/>
  <c r="AG21" i="3" s="1"/>
  <c r="D36" i="3"/>
  <c r="D48" i="3"/>
  <c r="D65" i="3"/>
  <c r="S3" i="3"/>
  <c r="AE51" i="3"/>
  <c r="AG51" i="3" s="1"/>
  <c r="AE67" i="3"/>
  <c r="AG67" i="3" s="1"/>
  <c r="AE112" i="3"/>
  <c r="AG112" i="3" s="1"/>
  <c r="AE47" i="3"/>
  <c r="AG47" i="3" s="1"/>
  <c r="D21" i="3"/>
  <c r="U132" i="3"/>
  <c r="W132" i="3"/>
  <c r="AE78" i="3"/>
  <c r="AG78" i="3" s="1"/>
  <c r="D78" i="3"/>
  <c r="AE37" i="3"/>
  <c r="AG37" i="3" s="1"/>
  <c r="T3" i="3"/>
  <c r="D51" i="3"/>
  <c r="L3" i="3"/>
  <c r="D91" i="3"/>
  <c r="AE97" i="3"/>
  <c r="AG97" i="3" s="1"/>
  <c r="D101" i="3"/>
  <c r="AB132" i="3"/>
  <c r="D112" i="3"/>
  <c r="AE65" i="3"/>
  <c r="AG65" i="3" s="1"/>
  <c r="H132" i="3"/>
  <c r="AB3" i="3"/>
  <c r="R132" i="3"/>
  <c r="K132" i="3"/>
  <c r="D26" i="3"/>
  <c r="D46" i="3"/>
  <c r="D52" i="3"/>
  <c r="AE102" i="3"/>
  <c r="AG102" i="3" s="1"/>
  <c r="AE109" i="3"/>
  <c r="AG109" i="3" s="1"/>
  <c r="S132" i="3"/>
  <c r="AE36" i="3"/>
  <c r="AG36" i="3" s="1"/>
  <c r="AE79" i="3"/>
  <c r="AG79" i="3" s="1"/>
  <c r="U3" i="3"/>
  <c r="AD132" i="3"/>
  <c r="P132" i="3"/>
  <c r="AE40" i="3"/>
  <c r="AG40" i="3" s="1"/>
  <c r="AE110" i="3"/>
  <c r="AG110" i="3" s="1"/>
  <c r="J3" i="3"/>
  <c r="W3" i="3"/>
  <c r="O132" i="3"/>
  <c r="AE108" i="3"/>
  <c r="AG108" i="3" s="1"/>
  <c r="AE111" i="3"/>
  <c r="AG111" i="3" s="1"/>
  <c r="AE113" i="3"/>
  <c r="AG113" i="3" s="1"/>
  <c r="AE66" i="3"/>
  <c r="AG66" i="3" s="1"/>
  <c r="D79" i="3"/>
  <c r="AE99" i="3"/>
  <c r="AG99" i="3" s="1"/>
  <c r="D102" i="3"/>
  <c r="D108" i="3"/>
  <c r="I132" i="3"/>
  <c r="Q132" i="3"/>
  <c r="V3" i="3"/>
  <c r="AD3" i="3"/>
  <c r="AE7" i="3"/>
  <c r="AG7" i="3" s="1"/>
  <c r="AE9" i="3"/>
  <c r="AG9" i="3" s="1"/>
  <c r="AE26" i="3"/>
  <c r="AG26" i="3" s="1"/>
  <c r="AE30" i="3"/>
  <c r="AG30" i="3" s="1"/>
  <c r="AE50" i="3"/>
  <c r="AG50" i="3" s="1"/>
  <c r="AE68" i="3"/>
  <c r="AG68" i="3" s="1"/>
  <c r="D73" i="3"/>
  <c r="D80" i="3"/>
  <c r="AE96" i="3"/>
  <c r="AG96" i="3" s="1"/>
  <c r="D111" i="3"/>
  <c r="D118" i="3"/>
  <c r="Z132" i="3"/>
  <c r="O3" i="3"/>
  <c r="AA132" i="3"/>
  <c r="D97" i="3"/>
  <c r="L132" i="3"/>
  <c r="D7" i="3"/>
  <c r="D40" i="3"/>
  <c r="D99" i="3"/>
  <c r="D110" i="3"/>
  <c r="D113" i="3"/>
  <c r="AE46" i="3"/>
  <c r="AG46" i="3" s="1"/>
  <c r="P3" i="3"/>
  <c r="R3" i="3"/>
  <c r="D72" i="3"/>
  <c r="D85" i="3"/>
  <c r="D107" i="3"/>
  <c r="AE132" i="3" l="1"/>
  <c r="X105" i="1"/>
  <c r="D105" i="1"/>
  <c r="X104" i="1"/>
  <c r="D104" i="1"/>
  <c r="X103" i="1"/>
  <c r="D103" i="1"/>
  <c r="X102" i="1"/>
  <c r="D102" i="1"/>
  <c r="X98" i="1"/>
  <c r="D98" i="1"/>
  <c r="X97" i="1"/>
  <c r="D97" i="1"/>
  <c r="D92" i="1"/>
  <c r="X91" i="1"/>
  <c r="D91" i="1"/>
  <c r="X90" i="1"/>
  <c r="D90" i="1"/>
  <c r="X89" i="1"/>
  <c r="D89" i="1"/>
  <c r="X88" i="1"/>
  <c r="D88" i="1"/>
  <c r="X87" i="1"/>
  <c r="D87" i="1"/>
  <c r="X86" i="1"/>
  <c r="D86" i="1"/>
  <c r="X85" i="1"/>
  <c r="D85" i="1"/>
  <c r="D81" i="1"/>
  <c r="X80" i="1"/>
  <c r="D80" i="1"/>
  <c r="X79" i="1"/>
  <c r="D79" i="1"/>
  <c r="X78" i="1"/>
  <c r="D78" i="1"/>
  <c r="X77" i="1"/>
  <c r="D77" i="1"/>
  <c r="X76" i="1"/>
  <c r="D76" i="1"/>
  <c r="X75" i="1"/>
  <c r="D75" i="1"/>
  <c r="X74" i="1"/>
  <c r="D74" i="1"/>
  <c r="X73" i="1"/>
  <c r="D73" i="1"/>
  <c r="X72" i="1"/>
  <c r="D72" i="1"/>
  <c r="X67" i="1"/>
  <c r="D67" i="1"/>
  <c r="X66" i="1"/>
  <c r="D66" i="1"/>
  <c r="X65" i="1"/>
  <c r="D65" i="1"/>
  <c r="X64" i="1"/>
  <c r="D64" i="1"/>
  <c r="X63" i="1"/>
  <c r="D63" i="1"/>
  <c r="X58" i="1"/>
  <c r="D58" i="1"/>
  <c r="X57" i="1"/>
  <c r="D57" i="1"/>
  <c r="X56" i="1"/>
  <c r="D56" i="1"/>
  <c r="X55" i="1"/>
  <c r="D55" i="1"/>
  <c r="X54" i="1"/>
  <c r="D54" i="1"/>
  <c r="X53" i="1"/>
  <c r="D53" i="1"/>
  <c r="X52" i="1"/>
  <c r="D52" i="1"/>
  <c r="X51" i="1"/>
  <c r="D51" i="1"/>
  <c r="X46" i="1"/>
  <c r="D46" i="1"/>
  <c r="X41" i="1"/>
  <c r="D41" i="1"/>
  <c r="X40" i="1"/>
  <c r="D40" i="1"/>
  <c r="X39" i="1"/>
  <c r="D39" i="1"/>
  <c r="X38" i="1"/>
  <c r="D38" i="1"/>
  <c r="X37" i="1"/>
  <c r="D37" i="1"/>
  <c r="X32" i="1"/>
  <c r="D32" i="1"/>
  <c r="X31" i="1"/>
  <c r="D31" i="1"/>
  <c r="X30" i="1"/>
  <c r="D30" i="1"/>
  <c r="X19" i="1"/>
  <c r="D19" i="1"/>
  <c r="X18" i="1"/>
  <c r="D18" i="1"/>
  <c r="X17" i="1"/>
  <c r="D17" i="1"/>
  <c r="X16" i="1"/>
  <c r="D16" i="1"/>
  <c r="X15" i="1"/>
  <c r="D15" i="1"/>
  <c r="X14" i="1"/>
  <c r="D14" i="1"/>
  <c r="X13" i="1"/>
  <c r="D13" i="1"/>
  <c r="X12" i="1"/>
  <c r="D12" i="1"/>
  <c r="X11" i="1"/>
  <c r="D11" i="1"/>
  <c r="X10" i="1"/>
  <c r="G10" i="1"/>
  <c r="D10" i="1" s="1"/>
  <c r="X9" i="1"/>
  <c r="G9" i="1"/>
  <c r="G107" i="1" l="1"/>
  <c r="V107" i="1" s="1"/>
  <c r="G3" i="1"/>
  <c r="V3" i="1" s="1"/>
  <c r="D9" i="1"/>
  <c r="AM127" i="2"/>
  <c r="AL125" i="2"/>
  <c r="AK125" i="2"/>
  <c r="AJ125" i="2"/>
  <c r="AI125" i="2"/>
  <c r="AH125" i="2"/>
  <c r="AG125" i="2"/>
  <c r="AF125" i="2"/>
  <c r="AE125" i="2"/>
  <c r="AD125" i="2"/>
  <c r="AC125" i="2"/>
  <c r="AB125" i="2"/>
  <c r="AA125" i="2"/>
  <c r="Z125" i="2"/>
  <c r="Y125" i="2"/>
  <c r="X125" i="2"/>
  <c r="W125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E125" i="2"/>
  <c r="AM104" i="2"/>
  <c r="D104" i="2"/>
  <c r="AM122" i="2"/>
  <c r="AO122" i="2" s="1"/>
  <c r="D122" i="2"/>
  <c r="D121" i="2"/>
  <c r="AM116" i="2"/>
  <c r="D116" i="2"/>
  <c r="AM115" i="2"/>
  <c r="AO115" i="2" s="1"/>
  <c r="D115" i="2"/>
  <c r="AM114" i="2"/>
  <c r="AO114" i="2" s="1"/>
  <c r="D114" i="2"/>
  <c r="AM113" i="2"/>
  <c r="AO113" i="2" s="1"/>
  <c r="D113" i="2"/>
  <c r="AM112" i="2"/>
  <c r="AO112" i="2" s="1"/>
  <c r="D112" i="2"/>
  <c r="AM111" i="2"/>
  <c r="AO111" i="2" s="1"/>
  <c r="D111" i="2"/>
  <c r="AM110" i="2"/>
  <c r="AO110" i="2" s="1"/>
  <c r="D110" i="2"/>
  <c r="AM109" i="2"/>
  <c r="AO109" i="2" s="1"/>
  <c r="D109" i="2"/>
  <c r="AM103" i="2"/>
  <c r="AO103" i="2" s="1"/>
  <c r="D103" i="2"/>
  <c r="AM102" i="2"/>
  <c r="AO102" i="2" s="1"/>
  <c r="D102" i="2"/>
  <c r="AM101" i="2"/>
  <c r="AO101" i="2" s="1"/>
  <c r="D101" i="2"/>
  <c r="AM100" i="2"/>
  <c r="AO100" i="2" s="1"/>
  <c r="D100" i="2"/>
  <c r="AM99" i="2"/>
  <c r="AO99" i="2" s="1"/>
  <c r="D99" i="2"/>
  <c r="AM98" i="2"/>
  <c r="AO98" i="2" s="1"/>
  <c r="D98" i="2"/>
  <c r="AM97" i="2"/>
  <c r="AO97" i="2" s="1"/>
  <c r="D97" i="2"/>
  <c r="AM92" i="2"/>
  <c r="AO92" i="2" s="1"/>
  <c r="D92" i="2"/>
  <c r="AM91" i="2"/>
  <c r="AO91" i="2" s="1"/>
  <c r="D91" i="2"/>
  <c r="AM90" i="2"/>
  <c r="D90" i="2"/>
  <c r="AM89" i="2"/>
  <c r="D89" i="2"/>
  <c r="AM88" i="2"/>
  <c r="D88" i="2"/>
  <c r="AM87" i="2"/>
  <c r="D87" i="2"/>
  <c r="AM86" i="2"/>
  <c r="D86" i="2"/>
  <c r="AM81" i="2"/>
  <c r="AO81" i="2" s="1"/>
  <c r="D81" i="2"/>
  <c r="AM80" i="2"/>
  <c r="AO80" i="2" s="1"/>
  <c r="D80" i="2"/>
  <c r="AM79" i="2"/>
  <c r="AO79" i="2" s="1"/>
  <c r="D79" i="2"/>
  <c r="AM78" i="2"/>
  <c r="AO78" i="2" s="1"/>
  <c r="D78" i="2"/>
  <c r="AM77" i="2"/>
  <c r="AO77" i="2" s="1"/>
  <c r="D77" i="2"/>
  <c r="AM76" i="2"/>
  <c r="AO76" i="2" s="1"/>
  <c r="D76" i="2"/>
  <c r="AM75" i="2"/>
  <c r="AO75" i="2" s="1"/>
  <c r="D75" i="2"/>
  <c r="AM74" i="2"/>
  <c r="AO74" i="2" s="1"/>
  <c r="D74" i="2"/>
  <c r="AM69" i="2"/>
  <c r="AO69" i="2" s="1"/>
  <c r="D69" i="2"/>
  <c r="AM64" i="2"/>
  <c r="AO64" i="2" s="1"/>
  <c r="D64" i="2"/>
  <c r="AM63" i="2"/>
  <c r="AO63" i="2" s="1"/>
  <c r="D63" i="2"/>
  <c r="AM62" i="2"/>
  <c r="AO62" i="2" s="1"/>
  <c r="D62" i="2"/>
  <c r="AM61" i="2"/>
  <c r="AO61" i="2" s="1"/>
  <c r="D61" i="2"/>
  <c r="AM60" i="2"/>
  <c r="AO60" i="2" s="1"/>
  <c r="D60" i="2"/>
  <c r="AM59" i="2"/>
  <c r="D59" i="2"/>
  <c r="AM58" i="2"/>
  <c r="AO58" i="2" s="1"/>
  <c r="D58" i="2"/>
  <c r="AM57" i="2"/>
  <c r="AO57" i="2" s="1"/>
  <c r="D57" i="2"/>
  <c r="AM52" i="2"/>
  <c r="AO52" i="2" s="1"/>
  <c r="D52" i="2"/>
  <c r="AM51" i="2"/>
  <c r="AO51" i="2" s="1"/>
  <c r="D51" i="2"/>
  <c r="AM50" i="2"/>
  <c r="AO50" i="2" s="1"/>
  <c r="D50" i="2"/>
  <c r="AM49" i="2"/>
  <c r="AO49" i="2" s="1"/>
  <c r="D49" i="2"/>
  <c r="AM48" i="2"/>
  <c r="AO48" i="2" s="1"/>
  <c r="D48" i="2"/>
  <c r="AM47" i="2"/>
  <c r="AO47" i="2" s="1"/>
  <c r="D47" i="2"/>
  <c r="AM46" i="2"/>
  <c r="AO46" i="2" s="1"/>
  <c r="D46" i="2"/>
  <c r="AM41" i="2"/>
  <c r="AO41" i="2" s="1"/>
  <c r="D41" i="2"/>
  <c r="AM40" i="2"/>
  <c r="AO40" i="2" s="1"/>
  <c r="D40" i="2"/>
  <c r="AM39" i="2"/>
  <c r="AO39" i="2" s="1"/>
  <c r="D39" i="2"/>
  <c r="AM38" i="2"/>
  <c r="AO38" i="2" s="1"/>
  <c r="D38" i="2"/>
  <c r="AM33" i="2"/>
  <c r="AO33" i="2" s="1"/>
  <c r="D33" i="2"/>
  <c r="AM32" i="2"/>
  <c r="AO32" i="2" s="1"/>
  <c r="D32" i="2"/>
  <c r="AM31" i="2"/>
  <c r="AO31" i="2" s="1"/>
  <c r="D31" i="2"/>
  <c r="AM30" i="2"/>
  <c r="AO30" i="2" s="1"/>
  <c r="D30" i="2"/>
  <c r="AM29" i="2"/>
  <c r="AO29" i="2" s="1"/>
  <c r="D29" i="2"/>
  <c r="AM28" i="2"/>
  <c r="D28" i="2"/>
  <c r="AM27" i="2"/>
  <c r="AO27" i="2" s="1"/>
  <c r="D27" i="2"/>
  <c r="AM26" i="2"/>
  <c r="AO26" i="2" s="1"/>
  <c r="D26" i="2"/>
  <c r="AM25" i="2"/>
  <c r="AO25" i="2" s="1"/>
  <c r="D25" i="2"/>
  <c r="AM24" i="2"/>
  <c r="AO24" i="2" s="1"/>
  <c r="D24" i="2"/>
  <c r="AM23" i="2"/>
  <c r="AO23" i="2" s="1"/>
  <c r="D23" i="2"/>
  <c r="AM22" i="2"/>
  <c r="AO22" i="2" s="1"/>
  <c r="D22" i="2"/>
  <c r="AM21" i="2"/>
  <c r="AO21" i="2" s="1"/>
  <c r="D21" i="2"/>
  <c r="AM20" i="2"/>
  <c r="AO20" i="2" s="1"/>
  <c r="D20" i="2"/>
  <c r="AM19" i="2"/>
  <c r="AO19" i="2" s="1"/>
  <c r="D19" i="2"/>
  <c r="AM18" i="2"/>
  <c r="AO18" i="2" s="1"/>
  <c r="D18" i="2"/>
  <c r="AM17" i="2"/>
  <c r="AO17" i="2" s="1"/>
  <c r="D17" i="2"/>
  <c r="AM16" i="2"/>
  <c r="AO16" i="2" s="1"/>
  <c r="D16" i="2"/>
  <c r="AM15" i="2"/>
  <c r="AO15" i="2" s="1"/>
  <c r="D15" i="2"/>
  <c r="AM14" i="2"/>
  <c r="AO14" i="2" s="1"/>
  <c r="D14" i="2"/>
  <c r="AM13" i="2"/>
  <c r="AO13" i="2" s="1"/>
  <c r="D13" i="2"/>
  <c r="AM12" i="2"/>
  <c r="AO12" i="2" s="1"/>
  <c r="D12" i="2"/>
  <c r="AM11" i="2"/>
  <c r="AO11" i="2" s="1"/>
  <c r="D11" i="2"/>
  <c r="AM10" i="2"/>
  <c r="AO10" i="2" s="1"/>
  <c r="D10" i="2"/>
  <c r="AM9" i="2"/>
  <c r="AO9" i="2" s="1"/>
  <c r="D9" i="2"/>
  <c r="AM8" i="2"/>
  <c r="AO8" i="2" s="1"/>
  <c r="D8" i="2"/>
  <c r="AM7" i="2"/>
  <c r="AO7" i="2" s="1"/>
  <c r="D7" i="2"/>
  <c r="AM6" i="2"/>
  <c r="D6" i="2"/>
  <c r="AM125" i="2" l="1"/>
  <c r="AO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tc={BFCF271C-B19C-4234-AF18-611B87D0E99F}</author>
    <author>tc={4B7A1EE5-0097-4101-8CD8-5847BBFA0794}</author>
    <author>tc={CE61E32C-B0EA-441B-A293-572A686E9FAD}</author>
    <author>tc={D80090D2-6398-4D22-A3B5-4E5DE565DCED}</author>
  </authors>
  <commentList>
    <comment ref="W1" authorId="0" shapeId="0" xr:uid="{BFCF271C-B19C-4234-AF18-611B87D0E99F}">
      <text>
        <t>[Trådad kommentar]
I din version av Excel kan du läsa den här trådade kommentaren, men eventuella ändringar i den tas bort om filen öppnas i en senare version av Excel. Läs mer: https://go.microsoft.com/fwlink/?linkid=870924
Kommentar:
    Bredd 0,75 m. Se kommentarer för samplanteringar, ex Mangold totalt 10 m, men 5 m per sort. Basilika 1 rad á 15 m ihop med tomater =&gt; 5 bäddmeter.</t>
      </text>
    </comment>
    <comment ref="D14" authorId="1" shapeId="0" xr:uid="{4B7A1EE5-0097-4101-8CD8-5847BBFA0794}">
      <text>
        <t>[Trådad kommentar]
I din version av Excel kan du läsa den här trådade kommentaren, men eventuella ändringar i den tas bort om filen öppnas i en senare version av Excel. Läs mer: https://go.microsoft.com/fwlink/?linkid=870924
Kommentar:
    OBS med blast</t>
      </text>
    </comment>
    <comment ref="D15" authorId="2" shapeId="0" xr:uid="{CE61E32C-B0EA-441B-A293-572A686E9FAD}">
      <text>
        <t>[Trådad kommentar]
I din version av Excel kan du läsa den här trådade kommentaren, men eventuella ändringar i den tas bort om filen öppnas i en senare version av Excel. Läs mer: https://go.microsoft.com/fwlink/?linkid=870924
Kommentar:
    OBS med blast</t>
      </text>
    </comment>
    <comment ref="D39" authorId="3" shapeId="0" xr:uid="{D80090D2-6398-4D22-A3B5-4E5DE565DCED}">
      <text>
        <t>[Trådad kommentar]
I din version av Excel kan du läsa den här trådade kommentaren, men eventuella ändringar i den tas bort om filen öppnas i en senare version av Excel. Läs mer: https://go.microsoft.com/fwlink/?linkid=870924
Kommentar:
    OBS skörd med blast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tc={E50ABC71-149C-44A9-9976-004C16B3EC9F}</author>
    <author>tc={1E3208C3-143E-44CF-ACF2-6162570127CB}</author>
    <author>tc={98DE5A77-4359-48DC-96C7-D20A059916CB}</author>
    <author>tc={844C12A8-7F3C-4338-9E74-50D25F738EC8}</author>
    <author>tc={46F27715-4B83-46AE-87B6-D134567A56DC}</author>
    <author>tc={02092A09-CEAF-45B0-88E1-F2D635FEC4B7}</author>
    <author>tc={F166E5D8-6A93-484D-890F-DB2C4CD391D5}</author>
    <author>tc={B2326453-8FF9-4151-BE5D-A97D951BD86E}</author>
    <author>tc={9D8D34C3-E228-4FC9-B0A3-674A95D24204}</author>
    <author>tc={418A9FD8-B468-4EEE-B2A9-403E18CDC490}</author>
    <author>tc={2FBF5E87-5593-47C5-8748-26F4F3979A12}</author>
  </authors>
  <commentList>
    <comment ref="H17" authorId="0" shapeId="0" xr:uid="{E50ABC71-149C-44A9-9976-004C16B3EC9F}">
      <text>
        <t>[Trådad kommentar]
I din version av Excel kan du läsa den här trådade kommentaren, men eventuella ändringar i den tas bort om filen öppnas i en senare version av Excel. Läs mer: https://go.microsoft.com/fwlink/?linkid=870924
Kommentar:
    (utan blast)</t>
      </text>
    </comment>
    <comment ref="I17" authorId="1" shapeId="0" xr:uid="{1E3208C3-143E-44CF-ACF2-6162570127CB}">
      <text>
        <t>[Trådad kommentar]
I din version av Excel kan du läsa den här trådade kommentaren, men eventuella ändringar i den tas bort om filen öppnas i en senare version av Excel. Läs mer: https://go.microsoft.com/fwlink/?linkid=870924
Kommentar:
    (utan blast)</t>
      </text>
    </comment>
    <comment ref="H18" authorId="2" shapeId="0" xr:uid="{98DE5A77-4359-48DC-96C7-D20A059916CB}">
      <text>
        <t>[Trådad kommentar]
I din version av Excel kan du läsa den här trådade kommentaren, men eventuella ändringar i den tas bort om filen öppnas i en senare version av Excel. Läs mer: https://go.microsoft.com/fwlink/?linkid=870924
Kommentar:
    (utan blast)</t>
      </text>
    </comment>
    <comment ref="I18" authorId="3" shapeId="0" xr:uid="{844C12A8-7F3C-4338-9E74-50D25F738EC8}">
      <text>
        <t>[Trådad kommentar]
I din version av Excel kan du läsa den här trådade kommentaren, men eventuella ändringar i den tas bort om filen öppnas i en senare version av Excel. Läs mer: https://go.microsoft.com/fwlink/?linkid=870924
Kommentar:
    (utan blast)</t>
      </text>
    </comment>
    <comment ref="AK18" authorId="4" shapeId="0" xr:uid="{46F27715-4B83-46AE-87B6-D134567A56DC}">
      <text>
        <t>[Trådad kommentar]
I din version av Excel kan du läsa den här trådade kommentaren, men eventuella ändringar i den tas bort om filen öppnas i en senare version av Excel. Läs mer: https://go.microsoft.com/fwlink/?linkid=870924
Kommentar:
    (2,43 av dessa bladskörd)</t>
      </text>
    </comment>
    <comment ref="AL41" authorId="5" shapeId="0" xr:uid="{02092A09-CEAF-45B0-88E1-F2D635FEC4B7}">
      <text>
        <t>[Trådad kommentar]
I din version av Excel kan du läsa den här trådade kommentaren, men eventuella ändringar i den tas bort om filen öppnas i en senare version av Excel. Läs mer: https://go.microsoft.com/fwlink/?linkid=870924
Kommentar:
    (5,5 sparas som sättlök)</t>
      </text>
    </comment>
    <comment ref="U122" authorId="6" shapeId="0" xr:uid="{F166E5D8-6A93-484D-890F-DB2C4CD391D5}">
      <text>
        <t>[Trådad kommentar]
I din version av Excel kan du läsa den här trådade kommentaren, men eventuella ändringar i den tas bort om filen öppnas i en senare version av Excel. Läs mer: https://go.microsoft.com/fwlink/?linkid=870924
Kommentar:
    (med stjälk)</t>
      </text>
    </comment>
    <comment ref="V122" authorId="7" shapeId="0" xr:uid="{B2326453-8FF9-4151-BE5D-A97D951BD86E}">
      <text>
        <t>[Trådad kommentar]
I din version av Excel kan du läsa den här trådade kommentaren, men eventuella ändringar i den tas bort om filen öppnas i en senare version av Excel. Läs mer: https://go.microsoft.com/fwlink/?linkid=870924
Kommentar:
    (med stjälk)</t>
      </text>
    </comment>
    <comment ref="W122" authorId="8" shapeId="0" xr:uid="{9D8D34C3-E228-4FC9-B0A3-674A95D24204}">
      <text>
        <t>[Trådad kommentar]
I din version av Excel kan du läsa den här trådade kommentaren, men eventuella ändringar i den tas bort om filen öppnas i en senare version av Excel. Läs mer: https://go.microsoft.com/fwlink/?linkid=870924
Kommentar:
    (med stjälk)</t>
      </text>
    </comment>
    <comment ref="X122" authorId="9" shapeId="0" xr:uid="{418A9FD8-B468-4EEE-B2A9-403E18CDC490}">
      <text>
        <t>[Trådad kommentar]
I din version av Excel kan du läsa den här trådade kommentaren, men eventuella ändringar i den tas bort om filen öppnas i en senare version av Excel. Läs mer: https://go.microsoft.com/fwlink/?linkid=870924
Kommentar:
    (med stjälk)</t>
      </text>
    </comment>
    <comment ref="Z122" authorId="10" shapeId="0" xr:uid="{2FBF5E87-5593-47C5-8748-26F4F3979A12}">
      <text>
        <t>[Trådad kommentar]
I din version av Excel kan du läsa den här trådade kommentaren, men eventuella ändringar i den tas bort om filen öppnas i en senare version av Excel. Läs mer: https://go.microsoft.com/fwlink/?linkid=870924
Kommentar:
    (med stjälk)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tc={EA95E431-8709-4AAC-BE45-B346C0D8AA38}</author>
    <author>tc={5AD71D2C-B1D5-4B1F-BDA9-64576EE82CFA}</author>
    <author>tc={B60FCD27-FAE8-4A91-BE01-D529BA0B7023}</author>
    <author>tc={19BBF277-7F4C-42A4-9269-50F7B0659935}</author>
    <author>tc={2FF50639-C8B7-4844-ABEB-C8E841BB73FC}</author>
    <author>tc={1FD00DA4-53B2-457B-9335-6C9870E54E28}</author>
    <author>tc={3AD279D3-E6F7-4AFB-85F1-CA225BC6A98D}</author>
    <author>tc={0BE2BBAE-D2ED-449C-A24F-4132154B40DD}</author>
    <author>tc={06A40B4A-55BB-490C-A80D-D7CE0E329E7C}</author>
    <author>tc={A8F00F45-7C59-4D84-85E1-CFFEA1448E26}</author>
    <author>tc={15469DD3-90B5-4332-9713-A86A80E005D7}</author>
    <author>tc={F06C9420-4386-4A0E-B59C-E879E1F76662}</author>
    <author>tc={DB82AD4B-1136-4521-8EAD-D15ACCFCE6FB}</author>
    <author>tc={D222A20C-608A-4155-ADA5-72A7946D7CE2}</author>
    <author>tc={7FB52983-77D8-498B-84EA-6051201709E7}</author>
    <author>tc={AAD16C94-D6AA-4926-A0A6-725C4E723F02}</author>
    <author>tc={ED46F2AE-EC90-430D-B2F2-C013E187CD74}</author>
    <author>tc={691F3ACD-7CC4-4A0C-A04A-C68ECB684E3F}</author>
    <author>tc={CE5FA2BF-E5E5-4093-895F-DE7385BC6338}</author>
    <author>tc={AB791EB5-AB12-4DFE-AF5C-6E8AC28246EF}</author>
    <author>tc={49C272A2-DD1B-4B96-9251-F64D5749128B}</author>
  </authors>
  <commentList>
    <comment ref="AF11" authorId="0" shapeId="0" xr:uid="{EA95E431-8709-4AAC-BE45-B346C0D8AA38}">
      <text>
        <t>[Trådad kommentar]
I din version av Excel kan du läsa den här trådade kommentaren, men eventuella ändringar i den tas bort om filen öppnas i en senare version av Excel. Läs mer: https://go.microsoft.com/fwlink/?linkid=870924
Kommentar:
    3+4 meter</t>
      </text>
    </comment>
    <comment ref="AF12" authorId="1" shapeId="0" xr:uid="{5AD71D2C-B1D5-4B1F-BDA9-64576EE82CFA}">
      <text>
        <t>[Trådad kommentar]
I din version av Excel kan du läsa den här trådade kommentaren, men eventuella ändringar i den tas bort om filen öppnas i en senare version av Excel. Läs mer: https://go.microsoft.com/fwlink/?linkid=870924
Kommentar:
    2+15 meter</t>
      </text>
    </comment>
    <comment ref="AF13" authorId="2" shapeId="0" xr:uid="{B60FCD27-FAE8-4A91-BE01-D529BA0B7023}">
      <text>
        <t>[Trådad kommentar]
I din version av Excel kan du läsa den här trådade kommentaren, men eventuella ändringar i den tas bort om filen öppnas i en senare version av Excel. Läs mer: https://go.microsoft.com/fwlink/?linkid=870924
Kommentar:
    5+5 meter</t>
      </text>
    </comment>
    <comment ref="AF26" authorId="3" shapeId="0" xr:uid="{19BBF277-7F4C-42A4-9269-50F7B0659935}">
      <text>
        <t>[Trådad kommentar]
I din version av Excel kan du läsa den här trådade kommentaren, men eventuella ändringar i den tas bort om filen öppnas i en senare version av Excel. Läs mer: https://go.microsoft.com/fwlink/?linkid=870924
Kommentar:
    10+22 meter</t>
      </text>
    </comment>
    <comment ref="AF27" authorId="4" shapeId="0" xr:uid="{2FF50639-C8B7-4844-ABEB-C8E841BB73FC}">
      <text>
        <t>[Trådad kommentar]
I din version av Excel kan du läsa den här trådade kommentaren, men eventuella ändringar i den tas bort om filen öppnas i en senare version av Excel. Läs mer: https://go.microsoft.com/fwlink/?linkid=870924
Kommentar:
    10+18 meter</t>
      </text>
    </comment>
    <comment ref="W36" authorId="5" shapeId="0" xr:uid="{1FD00DA4-53B2-457B-9335-6C9870E54E28}">
      <text>
        <t>[Trådad kommentar]
I din version av Excel kan du läsa den här trådade kommentaren, men eventuella ändringar i den tas bort om filen öppnas i en senare version av Excel. Läs mer: https://go.microsoft.com/fwlink/?linkid=870924
Kommentar:
    1,17 från A9 +3,76 från A11</t>
      </text>
    </comment>
    <comment ref="Y36" authorId="6" shapeId="0" xr:uid="{3AD279D3-E6F7-4AFB-85F1-CA225BC6A98D}">
      <text>
        <t>[Trådad kommentar]
I din version av Excel kan du läsa den här trådade kommentaren, men eventuella ändringar i den tas bort om filen öppnas i en senare version av Excel. Läs mer: https://go.microsoft.com/fwlink/?linkid=870924
Kommentar:
    Omgång 2
Svar:
    A11 + A12</t>
      </text>
    </comment>
    <comment ref="AF36" authorId="7" shapeId="0" xr:uid="{0BE2BBAE-D2ED-449C-A24F-4132154B40DD}">
      <text>
        <t>[Trådad kommentar]
I din version av Excel kan du läsa den här trådade kommentaren, men eventuella ändringar i den tas bort om filen öppnas i en senare version av Excel. Läs mer: https://go.microsoft.com/fwlink/?linkid=870924
Kommentar:
    20+23</t>
      </text>
    </comment>
    <comment ref="AF37" authorId="8" shapeId="0" xr:uid="{06A40B4A-55BB-490C-A80D-D7CE0E329E7C}">
      <text>
        <t>[Trådad kommentar]
I din version av Excel kan du läsa den här trådade kommentaren, men eventuella ändringar i den tas bort om filen öppnas i en senare version av Excel. Läs mer: https://go.microsoft.com/fwlink/?linkid=870924
Kommentar:
    20+17</t>
      </text>
    </comment>
    <comment ref="AF40" authorId="9" shapeId="0" xr:uid="{A8F00F45-7C59-4D84-85E1-CFFEA1448E26}">
      <text>
        <t>[Trådad kommentar]
I din version av Excel kan du läsa den här trådade kommentaren, men eventuella ändringar i den tas bort om filen öppnas i en senare version av Excel. Läs mer: https://go.microsoft.com/fwlink/?linkid=870924
Kommentar:
    20+20 meter</t>
      </text>
    </comment>
    <comment ref="U47" authorId="10" shapeId="0" xr:uid="{15469DD3-90B5-4332-9713-A86A80E005D7}">
      <text>
        <t>[Trådad kommentar]
I din version av Excel kan du läsa den här trådade kommentaren, men eventuella ändringar i den tas bort om filen öppnas i en senare version av Excel. Läs mer: https://go.microsoft.com/fwlink/?linkid=870924
Kommentar:
    Utan blast</t>
      </text>
    </comment>
    <comment ref="Q48" authorId="11" shapeId="0" xr:uid="{F06C9420-4386-4A0E-B59C-E879E1F76662}">
      <text>
        <t>[Trådad kommentar]
I din version av Excel kan du läsa den här trådade kommentaren, men eventuella ändringar i den tas bort om filen öppnas i en senare version av Excel. Läs mer: https://go.microsoft.com/fwlink/?linkid=870924
Kommentar:
    med blast</t>
      </text>
    </comment>
    <comment ref="AF49" authorId="12" shapeId="0" xr:uid="{DB82AD4B-1136-4521-8EAD-D15ACCFCE6FB}">
      <text>
        <t>[Trådad kommentar]
I din version av Excel kan du läsa den här trådade kommentaren, men eventuella ändringar i den tas bort om filen öppnas i en senare version av Excel. Läs mer: https://go.microsoft.com/fwlink/?linkid=870924
Kommentar:
    10+5 meter</t>
      </text>
    </comment>
    <comment ref="AF52" authorId="13" shapeId="0" xr:uid="{D222A20C-608A-4155-ADA5-72A7946D7CE2}">
      <text>
        <t>[Trådad kommentar]
I din version av Excel kan du läsa den här trådade kommentaren, men eventuella ändringar i den tas bort om filen öppnas i en senare version av Excel. Läs mer: https://go.microsoft.com/fwlink/?linkid=870924
Kommentar:
    10+10 meter</t>
      </text>
    </comment>
    <comment ref="U53" authorId="14" shapeId="0" xr:uid="{7FB52983-77D8-498B-84EA-6051201709E7}">
      <text>
        <t>[Trådad kommentar]
I din version av Excel kan du läsa den här trådade kommentaren, men eventuella ändringar i den tas bort om filen öppnas i en senare version av Excel. Läs mer: https://go.microsoft.com/fwlink/?linkid=870924
Kommentar:
    Frön</t>
      </text>
    </comment>
    <comment ref="AF53" authorId="15" shapeId="0" xr:uid="{AAD16C94-D6AA-4926-A0A6-725C4E723F02}">
      <text>
        <t>[Trådad kommentar]
I din version av Excel kan du läsa den här trådade kommentaren, men eventuella ändringar i den tas bort om filen öppnas i en senare version av Excel. Läs mer: https://go.microsoft.com/fwlink/?linkid=870924
Kommentar:
    10+5 meter</t>
      </text>
    </comment>
    <comment ref="AF65" authorId="16" shapeId="0" xr:uid="{ED46F2AE-EC90-430D-B2F2-C013E187CD74}">
      <text>
        <t>[Trådad kommentar]
I din version av Excel kan du läsa den här trådade kommentaren, men eventuella ändringar i den tas bort om filen öppnas i en senare version av Excel. Läs mer: https://go.microsoft.com/fwlink/?linkid=870924
Kommentar:
    10+5 meter för samtliga betor</t>
      </text>
    </comment>
    <comment ref="AD66" authorId="17" shapeId="0" xr:uid="{691F3ACD-7CC4-4A0C-A04A-C68ECB684E3F}">
      <text>
        <t>[Trådad kommentar]
I din version av Excel kan du läsa den här trådade kommentaren, men eventuella ändringar i den tas bort om filen öppnas i en senare version av Excel. Läs mer: https://go.microsoft.com/fwlink/?linkid=870924
Kommentar:
    Sådd nr 3</t>
      </text>
    </comment>
    <comment ref="AD68" authorId="18" shapeId="0" xr:uid="{CE5FA2BF-E5E5-4093-895F-DE7385BC6338}">
      <text>
        <t>[Trådad kommentar]
I din version av Excel kan du läsa den här trådade kommentaren, men eventuella ändringar i den tas bort om filen öppnas i en senare version av Excel. Läs mer: https://go.microsoft.com/fwlink/?linkid=870924
Kommentar:
    Sådd nr 3</t>
      </text>
    </comment>
    <comment ref="AF78" authorId="19" shapeId="0" xr:uid="{AB791EB5-AB12-4DFE-AF5C-6E8AC28246EF}">
      <text>
        <t>[Trådad kommentar]
I din version av Excel kan du läsa den här trådade kommentaren, men eventuella ändringar i den tas bort om filen öppnas i en senare version av Excel. Läs mer: https://go.microsoft.com/fwlink/?linkid=870924
Kommentar:
    20+20 meter</t>
      </text>
    </comment>
    <comment ref="AF85" authorId="20" shapeId="0" xr:uid="{49C272A2-DD1B-4B96-9251-F64D5749128B}">
      <text>
        <t>[Trådad kommentar]
I din version av Excel kan du läsa den här trådade kommentaren, men eventuella ändringar i den tas bort om filen öppnas i en senare version av Excel. Läs mer: https://go.microsoft.com/fwlink/?linkid=870924
Kommentar:
    2+8 meter</t>
      </text>
    </comment>
  </commentList>
</comments>
</file>

<file path=xl/sharedStrings.xml><?xml version="1.0" encoding="utf-8"?>
<sst xmlns="http://schemas.openxmlformats.org/spreadsheetml/2006/main" count="602" uniqueCount="334">
  <si>
    <t>[kg]</t>
  </si>
  <si>
    <t>Brassicaceae</t>
  </si>
  <si>
    <t>Kaito</t>
  </si>
  <si>
    <t>Halbhoher Gruner Krauser</t>
  </si>
  <si>
    <t>Westland Winter</t>
  </si>
  <si>
    <t>Nero di Toscana</t>
  </si>
  <si>
    <t>Broccoli</t>
  </si>
  <si>
    <t>Belstar F1</t>
  </si>
  <si>
    <t>Noriko</t>
  </si>
  <si>
    <t>Azur Star</t>
  </si>
  <si>
    <t>Joi Choi F1</t>
  </si>
  <si>
    <t>White Celery Mustard</t>
  </si>
  <si>
    <t>Pac choi</t>
  </si>
  <si>
    <t>Snöboll</t>
  </si>
  <si>
    <t>Purple Top White Globe</t>
  </si>
  <si>
    <t>Ostergruss Rosa 2</t>
  </si>
  <si>
    <t>Flamboyant/Patricia</t>
  </si>
  <si>
    <t>Lindbloms, mix</t>
  </si>
  <si>
    <t>Roma</t>
  </si>
  <si>
    <t>Red Russian</t>
  </si>
  <si>
    <t>Tatsoi</t>
  </si>
  <si>
    <t>Mizuna</t>
  </si>
  <si>
    <t>Southern Giant Curled Mustard</t>
  </si>
  <si>
    <t>Golden Frills</t>
  </si>
  <si>
    <t>mix</t>
  </si>
  <si>
    <t xml:space="preserve">Purple Frills </t>
  </si>
  <si>
    <t>Rainbow</t>
  </si>
  <si>
    <t>Alliaceae</t>
  </si>
  <si>
    <t>Guardsman</t>
  </si>
  <si>
    <t>Apache</t>
  </si>
  <si>
    <t>Tadorna</t>
  </si>
  <si>
    <t>Sabidrome</t>
  </si>
  <si>
    <t>Fabaceae</t>
  </si>
  <si>
    <t>Domino</t>
  </si>
  <si>
    <t>Purple TeePee</t>
  </si>
  <si>
    <t>Dior</t>
  </si>
  <si>
    <t>Sugar Snap</t>
  </si>
  <si>
    <t>Cascadia</t>
  </si>
  <si>
    <t>Sweet Horizon</t>
  </si>
  <si>
    <t>Norli</t>
  </si>
  <si>
    <t>Apiaceae</t>
  </si>
  <si>
    <t>Tetra</t>
  </si>
  <si>
    <t>Gigante di Napoli</t>
  </si>
  <si>
    <t>Ideal Red</t>
  </si>
  <si>
    <t>Morotsmix</t>
  </si>
  <si>
    <t>Fynn Nantaise 2</t>
  </si>
  <si>
    <t>Deep Purple</t>
  </si>
  <si>
    <t>Fino</t>
  </si>
  <si>
    <t>Calypso</t>
  </si>
  <si>
    <t>Lamiaceae</t>
  </si>
  <si>
    <t>Genovese</t>
  </si>
  <si>
    <t>En hel bädd som den delat med chili, paprika och ringblommor</t>
  </si>
  <si>
    <t>Chenopodiaceae</t>
  </si>
  <si>
    <t>Egyptian</t>
  </si>
  <si>
    <t>Alvro Mono</t>
  </si>
  <si>
    <t>Boldor</t>
  </si>
  <si>
    <t>Tonda di Chioggia</t>
  </si>
  <si>
    <t>Matador (Viking)</t>
  </si>
  <si>
    <t>Palco F1</t>
  </si>
  <si>
    <t>Fordhook Giant</t>
  </si>
  <si>
    <t>Bright lights</t>
  </si>
  <si>
    <t>Asteraceae</t>
  </si>
  <si>
    <t>Maravilla de Verano</t>
  </si>
  <si>
    <t>Little Gem</t>
  </si>
  <si>
    <t>Littel Leprechaun</t>
  </si>
  <si>
    <t>Roxy</t>
  </si>
  <si>
    <t>Muriella</t>
  </si>
  <si>
    <t>Cucurbitaceae</t>
  </si>
  <si>
    <t>Parador F1</t>
  </si>
  <si>
    <t>Striato di Italia</t>
  </si>
  <si>
    <t>Custard White</t>
  </si>
  <si>
    <t>3.52</t>
  </si>
  <si>
    <t>Uchiki Kuri</t>
  </si>
  <si>
    <t>Blue Ballet</t>
  </si>
  <si>
    <t>Katrina F1</t>
  </si>
  <si>
    <t>Mertus F1</t>
  </si>
  <si>
    <t>Solanaceae</t>
  </si>
  <si>
    <t>Selandia</t>
  </si>
  <si>
    <t xml:space="preserve">40 plantor, störst skörd men en bidragande faktor var att den klarade frosten bäst, skillnaden var itne riktigt lika stor innan. </t>
  </si>
  <si>
    <t>Matina</t>
  </si>
  <si>
    <t>33 plantor</t>
  </si>
  <si>
    <t>Jaune de Flamme</t>
  </si>
  <si>
    <t>39 plantor</t>
  </si>
  <si>
    <t>Bartelly F1</t>
  </si>
  <si>
    <t xml:space="preserve"> 36 plantor</t>
  </si>
  <si>
    <t>Goldiana</t>
  </si>
  <si>
    <t xml:space="preserve"> 45 plantor</t>
  </si>
  <si>
    <t>Xaro</t>
  </si>
  <si>
    <t>25 plantor, delar bädd med basilika</t>
  </si>
  <si>
    <t>Padron</t>
  </si>
  <si>
    <t>Tropaeolaceae</t>
  </si>
  <si>
    <t>ca, en bädd plus bäddslut</t>
  </si>
  <si>
    <t>19xxxx</t>
  </si>
  <si>
    <t>[m]</t>
  </si>
  <si>
    <t>Arcadia F1</t>
  </si>
  <si>
    <t>Daikon</t>
  </si>
  <si>
    <t>Mino Early</t>
  </si>
  <si>
    <t>Red Baron</t>
  </si>
  <si>
    <t>Tornado</t>
  </si>
  <si>
    <t>Cousteau RZ Salanova </t>
  </si>
  <si>
    <t>Long Pie</t>
  </si>
  <si>
    <t>Tromboncino</t>
  </si>
  <si>
    <t>Boothby's Blonde</t>
  </si>
  <si>
    <t>Gergana</t>
  </si>
  <si>
    <t>Nyagous</t>
  </si>
  <si>
    <t>Tomatillo</t>
  </si>
  <si>
    <t>Toma Verde</t>
  </si>
  <si>
    <t>Anaheim</t>
  </si>
  <si>
    <t>Uppätna av kålbladsstekel</t>
  </si>
  <si>
    <t>Halbhoher Grüner Krauser</t>
  </si>
  <si>
    <t>Rainbow Lacinato</t>
  </si>
  <si>
    <t>Black Kale F1</t>
  </si>
  <si>
    <t>Belstar F1, Premium Crop F1</t>
  </si>
  <si>
    <t>Superschmelz</t>
  </si>
  <si>
    <t>Ojämn tillväxt storleksmässigt. Sen skörd.</t>
  </si>
  <si>
    <t>Kolibri F1</t>
  </si>
  <si>
    <t>Paket</t>
  </si>
  <si>
    <t>Gick i blom både i tunnel och på friland</t>
  </si>
  <si>
    <t>4 -med blast. Angrepp av kålflugelarver i roten</t>
  </si>
  <si>
    <t>4 - med blast. Angrepp av kålflugelarver i roten</t>
  </si>
  <si>
    <t>Flamboyant + Lindbloms, mix</t>
  </si>
  <si>
    <t xml:space="preserve">20 m tunnel, 1 rad av varje. Ojämn tillväxt. </t>
  </si>
  <si>
    <t>20 m bädd, 3 rader ruccola 2 rader asiatisk kålbladsmix</t>
  </si>
  <si>
    <t>Ruccolablommor</t>
  </si>
  <si>
    <t>Husky</t>
  </si>
  <si>
    <t>10 - torkad lök. Små sättlökar, 2-3 cm</t>
  </si>
  <si>
    <t>10 - torkad lök. Någor små sättlökar, 3-4 cm</t>
  </si>
  <si>
    <t>Long White Ishikura</t>
  </si>
  <si>
    <t>Lökrost v 38</t>
  </si>
  <si>
    <t>Runner F1</t>
  </si>
  <si>
    <t>Dålig tillväxt - eller för tidig skörd?</t>
  </si>
  <si>
    <t>27,79/220 st</t>
  </si>
  <si>
    <t>Gonzales</t>
  </si>
  <si>
    <t>Valdor</t>
  </si>
  <si>
    <t>Isabel</t>
  </si>
  <si>
    <t>5 plantor, dåligt avhärdade? Flera dog efter utplantering</t>
  </si>
  <si>
    <t>Sämre avkastning än sockerärt</t>
  </si>
  <si>
    <t>Dålig uppkomst, såddes om. Stod i våt svacka</t>
  </si>
  <si>
    <t>Superdukat</t>
  </si>
  <si>
    <t>Alla orangea morötter angripna av sork. Ca 30% andrahandssortering med bett i toppen av roten, vid blasten.</t>
  </si>
  <si>
    <t>1-10 - med blast. 11 - utan blast</t>
  </si>
  <si>
    <t>Miami F1</t>
  </si>
  <si>
    <t>Tender and True</t>
  </si>
  <si>
    <t>12 - 16st, 14 6 st</t>
  </si>
  <si>
    <t xml:space="preserve">Någon typ av bladfläcksjuka. Ville ej leverera då jag ev kunde identifiera proeblemet. </t>
  </si>
  <si>
    <t>Tango F1</t>
  </si>
  <si>
    <t>13 - 16 st, 14 6 st</t>
  </si>
  <si>
    <t>Sweet Aroma 2 F1</t>
  </si>
  <si>
    <t>Svag tillväxt</t>
  </si>
  <si>
    <t>Sweet Thai</t>
  </si>
  <si>
    <t>Forono</t>
  </si>
  <si>
    <t>Jannis</t>
  </si>
  <si>
    <t>1-12 - med blast. xx - utan blast</t>
  </si>
  <si>
    <t>Bulls Blood</t>
  </si>
  <si>
    <t xml:space="preserve">Mycket ogräs/lomme i bädden. </t>
  </si>
  <si>
    <t xml:space="preserve">Dålig uppkomst. </t>
  </si>
  <si>
    <t>Renegade</t>
  </si>
  <si>
    <t>Dålig uppkomst. Gick i blom, lät stå. Självsådd höstskörd</t>
  </si>
  <si>
    <t>5 - 20 st, 6 - 25 st, 7 - 40 st, 8 - 35 st</t>
  </si>
  <si>
    <t>Frösådder står vid änden av flera bäddar</t>
  </si>
  <si>
    <t>Portulacaceae</t>
  </si>
  <si>
    <t>Golden Purslane</t>
  </si>
  <si>
    <t>Polygonaceae</t>
  </si>
  <si>
    <t>-</t>
  </si>
  <si>
    <t>För många plantor</t>
  </si>
  <si>
    <t>Golden Glory F1</t>
  </si>
  <si>
    <t>16 st plantor, stora snigelskador vid utplantering på samtliga squash/pumpabäddar</t>
  </si>
  <si>
    <t>Ambassador F1</t>
  </si>
  <si>
    <t>9 st plantor</t>
  </si>
  <si>
    <t>5 st plantor</t>
  </si>
  <si>
    <t>Butterscotch F1</t>
  </si>
  <si>
    <t xml:space="preserve">Ej skördemogna små pumpakart. Behöver mer värme plus längre tid i fält. </t>
  </si>
  <si>
    <t>48 st plantor</t>
  </si>
  <si>
    <t>Deltastar RZ F1</t>
  </si>
  <si>
    <t>47 st plantor</t>
  </si>
  <si>
    <t>23 st plantor, i våt svacka</t>
  </si>
  <si>
    <t>Lemon Boy</t>
  </si>
  <si>
    <t>29 st plantor, i våt svacka</t>
  </si>
  <si>
    <t>Black Cherry</t>
  </si>
  <si>
    <t>Sakura F1</t>
  </si>
  <si>
    <t>24 st plantor, i våt svacka</t>
  </si>
  <si>
    <t>Poaceae</t>
  </si>
  <si>
    <t>Mezdi</t>
  </si>
  <si>
    <t xml:space="preserve">Halva bädden i våt svacka. 60stora + 70 små kolvar vid leverans. </t>
  </si>
  <si>
    <t>1 - 11 st, 8 - 5 st, 12 -10 st, 16 - 6 st, 17 6 st,</t>
  </si>
  <si>
    <t xml:space="preserve">Dålig uppkomst, såddes om. </t>
  </si>
  <si>
    <t>Family</t>
  </si>
  <si>
    <t>Variety</t>
  </si>
  <si>
    <t>Onion family</t>
  </si>
  <si>
    <t>Pea family</t>
  </si>
  <si>
    <t>Cabbage family</t>
  </si>
  <si>
    <t>Carrot family</t>
  </si>
  <si>
    <t>Mint family</t>
  </si>
  <si>
    <t>Goosefoot family</t>
  </si>
  <si>
    <t>Aster family</t>
  </si>
  <si>
    <t>Gourd family</t>
  </si>
  <si>
    <t>Potato family</t>
  </si>
  <si>
    <t>Nasturtium family</t>
  </si>
  <si>
    <t>Foraged plants</t>
  </si>
  <si>
    <t>Kohlrabi, white</t>
  </si>
  <si>
    <t>Kohlrabi, purple</t>
  </si>
  <si>
    <t>Pac choi, long stem</t>
  </si>
  <si>
    <t>Turnip, white</t>
  </si>
  <si>
    <t>Radish, long</t>
  </si>
  <si>
    <t>Radish, round</t>
  </si>
  <si>
    <t>Ruccola</t>
  </si>
  <si>
    <t>Mini kale</t>
  </si>
  <si>
    <t>Mustard green</t>
  </si>
  <si>
    <t>Scallions, white</t>
  </si>
  <si>
    <t>Scallions, red</t>
  </si>
  <si>
    <t>Leek</t>
  </si>
  <si>
    <t>Snap pea</t>
  </si>
  <si>
    <t>Sugar pea</t>
  </si>
  <si>
    <t>Dill, leafy</t>
  </si>
  <si>
    <t>Parsley</t>
  </si>
  <si>
    <t>Carrot, summer variety</t>
  </si>
  <si>
    <t>Fennel, sweet</t>
  </si>
  <si>
    <t>Coriander, leafy</t>
  </si>
  <si>
    <t>Basil</t>
  </si>
  <si>
    <t>Beet, red</t>
  </si>
  <si>
    <t>Beet, yellow</t>
  </si>
  <si>
    <t>Beet, polka</t>
  </si>
  <si>
    <t>Spinach</t>
  </si>
  <si>
    <t>Swiss chard, white</t>
  </si>
  <si>
    <t>Swiss chard, rainbow</t>
  </si>
  <si>
    <t>Batavia lettuce</t>
  </si>
  <si>
    <t>Cos/Romaine lettuce</t>
  </si>
  <si>
    <t>Oak leaf lettuce</t>
  </si>
  <si>
    <t>Mixed leaf lettuce</t>
  </si>
  <si>
    <t>Calendula</t>
  </si>
  <si>
    <t>Zucchini, yellow</t>
  </si>
  <si>
    <t>Zucchini, green</t>
  </si>
  <si>
    <t>Pattypan squash</t>
  </si>
  <si>
    <t>Winter squash, green/blue</t>
  </si>
  <si>
    <t>Winter squash, orange, Hubbard</t>
  </si>
  <si>
    <t>Pumpkin</t>
  </si>
  <si>
    <t>Crookneck pumpkin</t>
  </si>
  <si>
    <t>Cucumber, yellow, mini</t>
  </si>
  <si>
    <t>Cucumber, green</t>
  </si>
  <si>
    <t>Squashflower</t>
  </si>
  <si>
    <t>Tomato, red</t>
  </si>
  <si>
    <t>Chili</t>
  </si>
  <si>
    <t>Green tomatoes</t>
  </si>
  <si>
    <t>Cascading nasturtium</t>
  </si>
  <si>
    <t>Bushy nasturtium</t>
  </si>
  <si>
    <t>Fire weed/Willowherb</t>
  </si>
  <si>
    <t>Queen-of-the-meadow</t>
  </si>
  <si>
    <t>Chickweed</t>
  </si>
  <si>
    <t>Nettles</t>
  </si>
  <si>
    <t>Delivery nr</t>
  </si>
  <si>
    <t>Date</t>
  </si>
  <si>
    <t>Visitors, students etc</t>
  </si>
  <si>
    <t>Bed meters</t>
  </si>
  <si>
    <t>[kg/bed meter]</t>
  </si>
  <si>
    <t>Total kg/week</t>
  </si>
  <si>
    <t>Chinese cabbage</t>
  </si>
  <si>
    <t>Black kale</t>
  </si>
  <si>
    <t>Green kale</t>
  </si>
  <si>
    <t>Common</t>
  </si>
  <si>
    <t>Mix, annual</t>
  </si>
  <si>
    <t>Mixed</t>
  </si>
  <si>
    <t>Snowball</t>
  </si>
  <si>
    <t>Premium crop F1</t>
  </si>
  <si>
    <t>Pak choi, long stem</t>
  </si>
  <si>
    <t>Pak choi, block B</t>
  </si>
  <si>
    <t>Broccoli, block B</t>
  </si>
  <si>
    <t>Pak choi</t>
  </si>
  <si>
    <t>Turnip</t>
  </si>
  <si>
    <t>Winter radish</t>
  </si>
  <si>
    <t>Radish, mix</t>
  </si>
  <si>
    <t>Ruccola, block B</t>
  </si>
  <si>
    <t>Italian ruccola</t>
  </si>
  <si>
    <t>Kale, mini</t>
  </si>
  <si>
    <t>Garlic</t>
  </si>
  <si>
    <t>French bean, green</t>
  </si>
  <si>
    <t>French bean, purple</t>
  </si>
  <si>
    <t>Wax bean</t>
  </si>
  <si>
    <t>Carrot, Nantes</t>
  </si>
  <si>
    <t>Head lettuce</t>
  </si>
  <si>
    <t>Mixed head lettuce</t>
  </si>
  <si>
    <t>Patty pan squash</t>
  </si>
  <si>
    <t>Winter squash, orange, Uchiki kuri</t>
  </si>
  <si>
    <t>Wintersquash, green/blue</t>
  </si>
  <si>
    <t>Cucumber, green, mini</t>
  </si>
  <si>
    <t>Cherry tomato, red</t>
  </si>
  <si>
    <t>Cherry tomato, yellow</t>
  </si>
  <si>
    <t>Sweet pepper, long</t>
  </si>
  <si>
    <t>Mixed tomatoes</t>
  </si>
  <si>
    <t>Mixed flowers</t>
  </si>
  <si>
    <t>Pumpkin/Squashflowers</t>
  </si>
  <si>
    <t>Rainbow kale</t>
  </si>
  <si>
    <t>Radish, seed pod</t>
  </si>
  <si>
    <t>Mustard greens in tunnel</t>
  </si>
  <si>
    <t>Mustard greens in field</t>
  </si>
  <si>
    <t>Asian greens mix , ruccola</t>
  </si>
  <si>
    <t>Southern Giant Curled Mustard, Golden Frills, italian ruccola, common ruccola, Red Russian</t>
  </si>
  <si>
    <t>Ruccola, flowers</t>
  </si>
  <si>
    <t>Onion sets, yellow</t>
  </si>
  <si>
    <t>Onion sets, red</t>
  </si>
  <si>
    <t>Chives</t>
  </si>
  <si>
    <t>Pole bean</t>
  </si>
  <si>
    <t>Dill, leafy + flowers</t>
  </si>
  <si>
    <t>Parlsey</t>
  </si>
  <si>
    <t>Carrot, summer/autumn</t>
  </si>
  <si>
    <t>Carrot, summer</t>
  </si>
  <si>
    <t>Parsnip</t>
  </si>
  <si>
    <t>Celery</t>
  </si>
  <si>
    <t>Beet, leaves</t>
  </si>
  <si>
    <t>Edible flowers, mix</t>
  </si>
  <si>
    <t>Purslane family</t>
  </si>
  <si>
    <t>Purslane</t>
  </si>
  <si>
    <t>Buckwheat family</t>
  </si>
  <si>
    <t>Red veined dock</t>
  </si>
  <si>
    <t>Wrinkled sorrel</t>
  </si>
  <si>
    <t>Tomato, mixed</t>
  </si>
  <si>
    <t>Beef tomato, yellow</t>
  </si>
  <si>
    <t>Coctail tomato, orange</t>
  </si>
  <si>
    <t>Tomato, black</t>
  </si>
  <si>
    <t>Cherry tomato, black/red</t>
  </si>
  <si>
    <t>Grass family</t>
  </si>
  <si>
    <t>Sweet corn</t>
  </si>
  <si>
    <t>Elm seeds</t>
  </si>
  <si>
    <t>Horseradish leaves</t>
  </si>
  <si>
    <t>Spruce tips</t>
  </si>
  <si>
    <t>Elderberry flowers</t>
  </si>
  <si>
    <t>Mint</t>
  </si>
  <si>
    <t>Tulip and summer flower bouquet</t>
  </si>
  <si>
    <t>Shepherds purse</t>
  </si>
  <si>
    <t>Total harvest</t>
  </si>
  <si>
    <t>Harvest/bed meter</t>
  </si>
  <si>
    <t>Comments</t>
  </si>
  <si>
    <t>Number of boxes delivered</t>
  </si>
  <si>
    <t>Mix</t>
  </si>
  <si>
    <r>
      <t>Growth &amp; Harvest:</t>
    </r>
    <r>
      <rPr>
        <b/>
        <sz val="11"/>
        <color rgb="FF00B050"/>
        <rFont val="Calibri"/>
        <family val="2"/>
        <scheme val="minor"/>
      </rPr>
      <t xml:space="preserve"> Great</t>
    </r>
    <r>
      <rPr>
        <b/>
        <sz val="11"/>
        <color theme="1"/>
        <rFont val="Calibri"/>
        <family val="2"/>
        <scheme val="minor"/>
      </rPr>
      <t>/</t>
    </r>
    <r>
      <rPr>
        <b/>
        <sz val="11"/>
        <color rgb="FFFFFF00"/>
        <rFont val="Calibri"/>
        <family val="2"/>
        <scheme val="minor"/>
      </rPr>
      <t>Ok</t>
    </r>
    <r>
      <rPr>
        <b/>
        <sz val="11"/>
        <color theme="1"/>
        <rFont val="Calibri"/>
        <family val="2"/>
        <scheme val="minor"/>
      </rPr>
      <t>/</t>
    </r>
    <r>
      <rPr>
        <b/>
        <sz val="11"/>
        <color rgb="FFFF0000"/>
        <rFont val="Calibri"/>
        <family val="2"/>
        <scheme val="minor"/>
      </rPr>
      <t>Not good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</si>
</sst>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B05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2" fontId="2" fillId="0" borderId="0" xfId="0" applyNumberFormat="1" applyFont="1"/>
    <xf numFmtId="2" fontId="0" fillId="0" borderId="0" xfId="0" applyNumberFormat="1"/>
    <xf numFmtId="16" fontId="2" fillId="0" borderId="0" xfId="0" applyNumberFormat="1" applyFont="1" applyAlignment="1">
      <alignment horizontal="right"/>
    </xf>
    <xf numFmtId="16" fontId="2" fillId="0" borderId="0" xfId="0" applyNumberFormat="1" applyFont="1"/>
    <xf numFmtId="0" fontId="0" fillId="3" borderId="0" xfId="0" applyFill="1"/>
    <xf numFmtId="0" fontId="0" fillId="4" borderId="0" xfId="0" applyFill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0" fillId="2" borderId="0" xfId="0" applyFill="1"/>
    <xf numFmtId="0" fontId="6" fillId="0" borderId="0" xfId="1" applyFont="1"/>
    <xf numFmtId="0" fontId="5" fillId="0" borderId="0" xfId="1"/>
    <xf numFmtId="0" fontId="1" fillId="0" borderId="0" xfId="0" applyFont="1"/>
    <xf numFmtId="0" fontId="7" fillId="0" borderId="0" xfId="1" applyFont="1"/>
    <xf numFmtId="0" fontId="8" fillId="0" borderId="0" xfId="1" applyFont="1"/>
    <xf numFmtId="0" fontId="2" fillId="0" borderId="0" xfId="0" applyFont="1" applyBorder="1"/>
    <xf numFmtId="0" fontId="0" fillId="4" borderId="0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1" xfId="0" applyFont="1" applyBorder="1"/>
  </cellXfs>
  <cellStyles count="2">
    <cellStyle name="Normal" xfId="0" builtinId="0"/>
    <cellStyle name="Normal 2" xfId="1" xr:uid="{F4CC3D4B-CA7B-41A2-B403-748B56F3E0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lara Hansson" id="{9C979FC0-8CDE-4ADB-A629-65A5B1195BFF}" userId="S::klara.hansson@fastighet.goteborg.se::de5a6818-e52c-4b88-a862-c183262533e0" providerId="AD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W1" dT="2020-01-16T14:40:04.66" personId="{9C979FC0-8CDE-4ADB-A629-65A5B1195BFF}" id="{BFCF271C-B19C-4234-AF18-611B87D0E99F}">
    <text>Bredd 0,75 m. Se kommentarer för samplanteringar, ex Mangold totalt 10 m, men 5 m per sort. Basilika 1 rad á 15 m ihop med tomater =&gt; 5 bäddmeter.</text>
  </threadedComment>
  <threadedComment ref="D14" dT="2020-01-14T11:35:49.61" personId="{9C979FC0-8CDE-4ADB-A629-65A5B1195BFF}" id="{4B7A1EE5-0097-4101-8CD8-5847BBFA0794}">
    <text>OBS med blast</text>
  </threadedComment>
  <threadedComment ref="D15" dT="2020-01-14T11:35:56.62" personId="{9C979FC0-8CDE-4ADB-A629-65A5B1195BFF}" id="{CE61E32C-B0EA-441B-A293-572A686E9FAD}">
    <text>OBS med blast</text>
  </threadedComment>
  <threadedComment ref="D39" dT="2019-12-18T13:34:26.11" personId="{9C979FC0-8CDE-4ADB-A629-65A5B1195BFF}" id="{D80090D2-6398-4D22-A3B5-4E5DE565DCED}">
    <text>OBS skörd med blast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H17" dT="2021-09-17T06:58:09.61" personId="{9C979FC0-8CDE-4ADB-A629-65A5B1195BFF}" id="{E50ABC71-149C-44A9-9976-004C16B3EC9F}">
    <text>(utan blast)</text>
  </threadedComment>
  <threadedComment ref="I17" dT="2021-09-17T06:58:53.63" personId="{9C979FC0-8CDE-4ADB-A629-65A5B1195BFF}" id="{1E3208C3-143E-44CF-ACF2-6162570127CB}">
    <text>(utan blast)</text>
  </threadedComment>
  <threadedComment ref="H18" dT="2021-09-17T06:58:30.23" personId="{9C979FC0-8CDE-4ADB-A629-65A5B1195BFF}" id="{98DE5A77-4359-48DC-96C7-D20A059916CB}">
    <text>(utan blast)</text>
  </threadedComment>
  <threadedComment ref="I18" dT="2021-09-17T06:59:11.74" personId="{9C979FC0-8CDE-4ADB-A629-65A5B1195BFF}" id="{844C12A8-7F3C-4338-9E74-50D25F738EC8}">
    <text>(utan blast)</text>
  </threadedComment>
  <threadedComment ref="AK18" dT="2021-09-17T06:57:40.49" personId="{9C979FC0-8CDE-4ADB-A629-65A5B1195BFF}" id="{46F27715-4B83-46AE-87B6-D134567A56DC}">
    <text>(2,43 av dessa bladskörd)</text>
  </threadedComment>
  <threadedComment ref="AL41" dT="2021-09-17T06:57:03.81" personId="{9C979FC0-8CDE-4ADB-A629-65A5B1195BFF}" id="{02092A09-CEAF-45B0-88E1-F2D635FEC4B7}">
    <text>(5,5 sparas som sättlök)</text>
  </threadedComment>
  <threadedComment ref="U122" dT="2021-09-17T07:00:02.76" personId="{9C979FC0-8CDE-4ADB-A629-65A5B1195BFF}" id="{F166E5D8-6A93-484D-890F-DB2C4CD391D5}">
    <text>(med stjälk)</text>
  </threadedComment>
  <threadedComment ref="V122" dT="2021-09-17T07:00:20.62" personId="{9C979FC0-8CDE-4ADB-A629-65A5B1195BFF}" id="{B2326453-8FF9-4151-BE5D-A97D951BD86E}">
    <text>(med stjälk)</text>
  </threadedComment>
  <threadedComment ref="W122" dT="2021-09-17T07:00:37.06" personId="{9C979FC0-8CDE-4ADB-A629-65A5B1195BFF}" id="{9D8D34C3-E228-4FC9-B0A3-674A95D24204}">
    <text>(med stjälk)</text>
  </threadedComment>
  <threadedComment ref="X122" dT="2021-09-17T07:00:52.71" personId="{9C979FC0-8CDE-4ADB-A629-65A5B1195BFF}" id="{418A9FD8-B468-4EEE-B2A9-403E18CDC490}">
    <text>(med stjälk)</text>
  </threadedComment>
  <threadedComment ref="Z122" dT="2021-09-17T07:01:16.30" personId="{9C979FC0-8CDE-4ADB-A629-65A5B1195BFF}" id="{2FBF5E87-5593-47C5-8748-26F4F3979A12}">
    <text>(med stjälk)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AF11" dT="2021-09-17T07:36:18.38" personId="{9C979FC0-8CDE-4ADB-A629-65A5B1195BFF}" id="{EA95E431-8709-4AAC-BE45-B346C0D8AA38}">
    <text>3+4 meter</text>
  </threadedComment>
  <threadedComment ref="AF12" dT="2021-09-17T07:36:09.61" personId="{9C979FC0-8CDE-4ADB-A629-65A5B1195BFF}" id="{5AD71D2C-B1D5-4B1F-BDA9-64576EE82CFA}">
    <text>2+15 meter</text>
  </threadedComment>
  <threadedComment ref="AF13" dT="2021-09-17T07:35:51.57" personId="{9C979FC0-8CDE-4ADB-A629-65A5B1195BFF}" id="{B60FCD27-FAE8-4A91-BE01-D529BA0B7023}">
    <text>5+5 meter</text>
  </threadedComment>
  <threadedComment ref="AF26" dT="2021-09-17T07:35:26.30" personId="{9C979FC0-8CDE-4ADB-A629-65A5B1195BFF}" id="{19BBF277-7F4C-42A4-9269-50F7B0659935}">
    <text>10+22 meter</text>
  </threadedComment>
  <threadedComment ref="AF27" dT="2021-09-17T07:35:09.95" personId="{9C979FC0-8CDE-4ADB-A629-65A5B1195BFF}" id="{2FF50639-C8B7-4844-ABEB-C8E841BB73FC}">
    <text>10+18 meter</text>
  </threadedComment>
  <threadedComment ref="W36" dT="2021-09-14T10:50:06.36" personId="{9C979FC0-8CDE-4ADB-A629-65A5B1195BFF}" id="{1FD00DA4-53B2-457B-9335-6C9870E54E28}">
    <text>1,17 från A9 +3,76 från A11</text>
  </threadedComment>
  <threadedComment ref="Y36" dT="2021-09-21T10:37:18.83" personId="{9C979FC0-8CDE-4ADB-A629-65A5B1195BFF}" id="{3AD279D3-E6F7-4AFB-85F1-CA225BC6A98D}">
    <text>Omgång 2</text>
  </threadedComment>
  <threadedComment ref="Y36" dT="2021-09-21T10:37:39.41" personId="{9C979FC0-8CDE-4ADB-A629-65A5B1195BFF}" id="{6A355934-E95D-4673-ADA3-C2FCE1490E53}" parentId="{3AD279D3-E6F7-4AFB-85F1-CA225BC6A98D}">
    <text>A11 + A12</text>
  </threadedComment>
  <threadedComment ref="AF36" dT="2021-09-17T07:33:42.67" personId="{9C979FC0-8CDE-4ADB-A629-65A5B1195BFF}" id="{0BE2BBAE-D2ED-449C-A24F-4132154B40DD}">
    <text>20+23</text>
  </threadedComment>
  <threadedComment ref="AF37" dT="2021-09-17T07:33:28.21" personId="{9C979FC0-8CDE-4ADB-A629-65A5B1195BFF}" id="{06A40B4A-55BB-490C-A80D-D7CE0E329E7C}">
    <text>20+17</text>
  </threadedComment>
  <threadedComment ref="AF40" dT="2021-09-17T07:32:59.46" personId="{9C979FC0-8CDE-4ADB-A629-65A5B1195BFF}" id="{A8F00F45-7C59-4D84-85E1-CFFEA1448E26}">
    <text>20+20 meter</text>
  </threadedComment>
  <threadedComment ref="U47" dT="2021-09-07T10:48:35.77" personId="{9C979FC0-8CDE-4ADB-A629-65A5B1195BFF}" id="{15469DD3-90B5-4332-9713-A86A80E005D7}">
    <text>Utan blast</text>
  </threadedComment>
  <threadedComment ref="Q48" dT="2021-08-19T10:43:34.20" personId="{9C979FC0-8CDE-4ADB-A629-65A5B1195BFF}" id="{F06C9420-4386-4A0E-B59C-E879E1F76662}">
    <text>med blast</text>
  </threadedComment>
  <threadedComment ref="AF49" dT="2021-09-17T07:32:33.61" personId="{9C979FC0-8CDE-4ADB-A629-65A5B1195BFF}" id="{DB82AD4B-1136-4521-8EAD-D15ACCFCE6FB}">
    <text>10+5 meter</text>
  </threadedComment>
  <threadedComment ref="AF52" dT="2021-09-17T07:32:06.54" personId="{9C979FC0-8CDE-4ADB-A629-65A5B1195BFF}" id="{D222A20C-608A-4155-ADA5-72A7946D7CE2}">
    <text>10+10 meter</text>
  </threadedComment>
  <threadedComment ref="U53" dT="2021-09-07T10:49:53.63" personId="{9C979FC0-8CDE-4ADB-A629-65A5B1195BFF}" id="{7FB52983-77D8-498B-84EA-6051201709E7}">
    <text>Frön</text>
  </threadedComment>
  <threadedComment ref="AF53" dT="2021-09-17T07:31:53.62" personId="{9C979FC0-8CDE-4ADB-A629-65A5B1195BFF}" id="{AAD16C94-D6AA-4926-A0A6-725C4E723F02}">
    <text>10+5 meter</text>
  </threadedComment>
  <threadedComment ref="AF65" dT="2021-09-17T07:31:03.91" personId="{9C979FC0-8CDE-4ADB-A629-65A5B1195BFF}" id="{ED46F2AE-EC90-430D-B2F2-C013E187CD74}">
    <text>10+5 meter för samtliga betor</text>
  </threadedComment>
  <threadedComment ref="AD66" dT="2021-10-07T12:12:44.15" personId="{9C979FC0-8CDE-4ADB-A629-65A5B1195BFF}" id="{691F3ACD-7CC4-4A0C-A04A-C68ECB684E3F}">
    <text>Sådd nr 3</text>
  </threadedComment>
  <threadedComment ref="AD68" dT="2021-10-07T12:13:14.60" personId="{9C979FC0-8CDE-4ADB-A629-65A5B1195BFF}" id="{CE5FA2BF-E5E5-4093-895F-DE7385BC6338}">
    <text>Sådd nr 3</text>
  </threadedComment>
  <threadedComment ref="AF78" dT="2021-09-17T07:30:05.69" personId="{9C979FC0-8CDE-4ADB-A629-65A5B1195BFF}" id="{AB791EB5-AB12-4DFE-AF5C-6E8AC28246EF}">
    <text>20+20 meter</text>
  </threadedComment>
  <threadedComment ref="AF85" dT="2021-09-17T07:29:41.25" personId="{9C979FC0-8CDE-4ADB-A629-65A5B1195BFF}" id="{49C272A2-DD1B-4B96-9251-F64D5749128B}">
    <text>2+8 meter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0A59E-F966-45C1-A4F7-0ED52153482F}">
  <dimension ref="A1:X107"/>
  <sheetViews>
    <sheetView tabSelected="1" zoomScale="55" zoomScaleNormal="55" workbookViewId="0">
      <selection activeCell="AM40" sqref="AM40"/>
    </sheetView>
  </sheetViews>
  <sheetFormatPr defaultRowHeight="14.5" x14ac:dyDescent="0.35"/>
  <cols>
    <col min="1" max="1" width="29.54296875" customWidth="1"/>
    <col min="2" max="2" width="25.453125" customWidth="1"/>
    <col min="3" max="3" width="14.6328125" customWidth="1"/>
    <col min="4" max="4" width="20.81640625" style="1" customWidth="1"/>
    <col min="21" max="21" width="13.54296875" customWidth="1"/>
    <col min="22" max="22" width="8.54296875" style="1" customWidth="1"/>
    <col min="23" max="23" width="11.54296875" customWidth="1"/>
    <col min="24" max="24" width="9.81640625" customWidth="1"/>
  </cols>
  <sheetData>
    <row r="1" spans="1:24" x14ac:dyDescent="0.35">
      <c r="A1" s="1" t="s">
        <v>186</v>
      </c>
      <c r="B1" s="1" t="s">
        <v>187</v>
      </c>
      <c r="C1" s="1" t="s">
        <v>249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1">
        <v>10</v>
      </c>
      <c r="O1" s="1">
        <v>11</v>
      </c>
      <c r="P1" s="1">
        <v>12</v>
      </c>
      <c r="Q1" s="1">
        <v>13</v>
      </c>
      <c r="R1" s="1">
        <v>14</v>
      </c>
      <c r="S1" s="1">
        <v>15</v>
      </c>
      <c r="T1" s="1">
        <v>16</v>
      </c>
      <c r="U1" s="1" t="s">
        <v>251</v>
      </c>
      <c r="V1" s="18" t="s">
        <v>328</v>
      </c>
      <c r="W1" s="1" t="s">
        <v>252</v>
      </c>
      <c r="X1" s="1" t="s">
        <v>329</v>
      </c>
    </row>
    <row r="2" spans="1:24" x14ac:dyDescent="0.35">
      <c r="A2" s="1"/>
      <c r="B2" s="1"/>
      <c r="C2" s="1" t="s">
        <v>250</v>
      </c>
      <c r="E2" s="1">
        <v>190716</v>
      </c>
      <c r="F2" s="1">
        <v>190723</v>
      </c>
      <c r="G2" s="1">
        <v>190730</v>
      </c>
      <c r="H2" s="1">
        <v>190806</v>
      </c>
      <c r="I2" s="1">
        <v>190813</v>
      </c>
      <c r="J2" s="1">
        <v>190820</v>
      </c>
      <c r="K2" s="1">
        <v>190827</v>
      </c>
      <c r="L2" s="1">
        <v>190902</v>
      </c>
      <c r="M2" s="1">
        <v>190910</v>
      </c>
      <c r="N2" s="1">
        <v>190916</v>
      </c>
      <c r="O2" s="1">
        <v>190924</v>
      </c>
      <c r="P2" s="1">
        <v>191001</v>
      </c>
      <c r="Q2" s="1">
        <v>191008</v>
      </c>
      <c r="R2" s="1">
        <v>191014</v>
      </c>
      <c r="S2" s="1">
        <v>191022</v>
      </c>
      <c r="T2" s="1">
        <v>191106</v>
      </c>
      <c r="U2" s="10" t="s">
        <v>92</v>
      </c>
      <c r="V2" s="1" t="s">
        <v>0</v>
      </c>
      <c r="W2" s="1" t="s">
        <v>93</v>
      </c>
      <c r="X2" s="1" t="s">
        <v>253</v>
      </c>
    </row>
    <row r="3" spans="1:24" x14ac:dyDescent="0.35">
      <c r="A3" s="1"/>
      <c r="B3" s="1"/>
      <c r="C3" s="1" t="s">
        <v>254</v>
      </c>
      <c r="D3" s="1" t="s">
        <v>0</v>
      </c>
      <c r="E3" s="1">
        <f>SUM(E6:E105)</f>
        <v>10.3</v>
      </c>
      <c r="F3" s="1">
        <f t="shared" ref="F3:T3" si="0">SUM(F6:F105)</f>
        <v>8.6</v>
      </c>
      <c r="G3" s="1">
        <f t="shared" si="0"/>
        <v>11.209999999999999</v>
      </c>
      <c r="H3" s="1">
        <f t="shared" si="0"/>
        <v>12.087000000000002</v>
      </c>
      <c r="I3" s="1">
        <f t="shared" si="0"/>
        <v>28.352999999999998</v>
      </c>
      <c r="J3" s="1">
        <f t="shared" si="0"/>
        <v>81.109000000000009</v>
      </c>
      <c r="K3" s="1">
        <f t="shared" si="0"/>
        <v>109.36</v>
      </c>
      <c r="L3" s="1">
        <f t="shared" si="0"/>
        <v>144.16</v>
      </c>
      <c r="M3" s="1">
        <f t="shared" si="0"/>
        <v>133.46100000000001</v>
      </c>
      <c r="N3" s="1">
        <f t="shared" si="0"/>
        <v>137.65</v>
      </c>
      <c r="O3" s="1">
        <f t="shared" si="0"/>
        <v>104.38999999999997</v>
      </c>
      <c r="P3" s="1">
        <f t="shared" si="0"/>
        <v>114.08999999999999</v>
      </c>
      <c r="Q3" s="1">
        <f t="shared" si="0"/>
        <v>121.95</v>
      </c>
      <c r="R3" s="1">
        <f t="shared" si="0"/>
        <v>97.309999999999988</v>
      </c>
      <c r="S3" s="1">
        <f t="shared" si="0"/>
        <v>92.88</v>
      </c>
      <c r="T3" s="1">
        <f t="shared" si="0"/>
        <v>50.850999999999999</v>
      </c>
      <c r="U3" s="1">
        <v>65</v>
      </c>
      <c r="V3" s="24">
        <f>SUM(E3:U3)</f>
        <v>1322.761</v>
      </c>
      <c r="W3" s="1"/>
      <c r="X3" s="1"/>
    </row>
    <row r="4" spans="1:24" x14ac:dyDescent="0.35">
      <c r="A4" s="1" t="s">
        <v>190</v>
      </c>
      <c r="U4" s="11"/>
      <c r="V4" s="11"/>
    </row>
    <row r="5" spans="1:24" x14ac:dyDescent="0.35">
      <c r="A5" s="1" t="s">
        <v>1</v>
      </c>
      <c r="C5" s="1" t="s">
        <v>333</v>
      </c>
    </row>
    <row r="6" spans="1:24" x14ac:dyDescent="0.35">
      <c r="A6" t="s">
        <v>257</v>
      </c>
      <c r="B6" t="s">
        <v>4</v>
      </c>
      <c r="C6" s="12"/>
      <c r="D6" s="1">
        <f>SUM(E6:T6)</f>
        <v>60.94</v>
      </c>
      <c r="E6">
        <v>1</v>
      </c>
      <c r="F6">
        <v>1.2</v>
      </c>
      <c r="G6">
        <v>1.5</v>
      </c>
      <c r="H6">
        <v>1.38</v>
      </c>
      <c r="I6">
        <v>1.76</v>
      </c>
      <c r="J6">
        <v>4.5999999999999996</v>
      </c>
      <c r="K6">
        <v>4.0999999999999996</v>
      </c>
      <c r="M6">
        <v>4.0999999999999996</v>
      </c>
      <c r="N6">
        <v>6.5</v>
      </c>
      <c r="O6">
        <v>4.7</v>
      </c>
      <c r="P6">
        <v>3.9</v>
      </c>
      <c r="Q6">
        <v>5.5</v>
      </c>
      <c r="R6">
        <v>5</v>
      </c>
      <c r="S6">
        <v>6</v>
      </c>
      <c r="T6">
        <v>9.6999999999999993</v>
      </c>
      <c r="V6" s="1">
        <v>60.94</v>
      </c>
      <c r="W6">
        <v>20</v>
      </c>
      <c r="X6" s="4">
        <f>V6/W6</f>
        <v>3.0469999999999997</v>
      </c>
    </row>
    <row r="7" spans="1:24" x14ac:dyDescent="0.35">
      <c r="A7" t="s">
        <v>256</v>
      </c>
      <c r="B7" t="s">
        <v>5</v>
      </c>
      <c r="C7" s="12"/>
      <c r="D7" s="1">
        <f t="shared" ref="D7:D8" si="1">SUM(E7:T7)</f>
        <v>41.199999999999996</v>
      </c>
      <c r="E7">
        <v>0.75</v>
      </c>
      <c r="F7">
        <v>0.8</v>
      </c>
      <c r="G7">
        <v>0.86</v>
      </c>
      <c r="H7">
        <v>0.47</v>
      </c>
      <c r="J7">
        <v>2</v>
      </c>
      <c r="L7">
        <v>5</v>
      </c>
      <c r="M7">
        <v>3.25</v>
      </c>
      <c r="N7">
        <v>3.8</v>
      </c>
      <c r="O7">
        <v>2.8</v>
      </c>
      <c r="P7">
        <v>2.2000000000000002</v>
      </c>
      <c r="Q7">
        <v>3.15</v>
      </c>
      <c r="R7">
        <v>4.5</v>
      </c>
      <c r="S7">
        <v>3.5</v>
      </c>
      <c r="T7">
        <v>8.1199999999999992</v>
      </c>
      <c r="V7" s="1">
        <v>41.199999999999996</v>
      </c>
      <c r="W7">
        <v>10</v>
      </c>
      <c r="X7" s="4">
        <f>V7/W7</f>
        <v>4.1199999999999992</v>
      </c>
    </row>
    <row r="8" spans="1:24" x14ac:dyDescent="0.35">
      <c r="A8" t="s">
        <v>6</v>
      </c>
      <c r="B8" t="s">
        <v>94</v>
      </c>
      <c r="C8" s="12"/>
      <c r="D8" s="1">
        <f t="shared" si="1"/>
        <v>57.9</v>
      </c>
      <c r="I8">
        <v>4.17</v>
      </c>
      <c r="J8">
        <v>11.4</v>
      </c>
      <c r="K8">
        <v>13.8</v>
      </c>
      <c r="L8">
        <v>6.5</v>
      </c>
      <c r="N8">
        <v>8.5</v>
      </c>
      <c r="P8">
        <v>5.25</v>
      </c>
      <c r="S8">
        <v>5.8</v>
      </c>
      <c r="T8">
        <v>2.48</v>
      </c>
      <c r="V8" s="1">
        <v>57.9</v>
      </c>
      <c r="W8">
        <v>15</v>
      </c>
      <c r="X8" s="4">
        <f>V8/W8</f>
        <v>3.86</v>
      </c>
    </row>
    <row r="9" spans="1:24" x14ac:dyDescent="0.35">
      <c r="A9" t="s">
        <v>199</v>
      </c>
      <c r="B9" t="s">
        <v>8</v>
      </c>
      <c r="C9" s="12"/>
      <c r="D9" s="1">
        <f t="shared" ref="D9" si="2">SUM(E9:T9)</f>
        <v>32.620000000000005</v>
      </c>
      <c r="G9">
        <f>0.68+0.65+0.74</f>
        <v>2.0700000000000003</v>
      </c>
      <c r="H9">
        <v>2.15</v>
      </c>
      <c r="I9">
        <v>4.4000000000000004</v>
      </c>
      <c r="J9">
        <v>6.2</v>
      </c>
      <c r="L9">
        <v>5.8</v>
      </c>
      <c r="M9">
        <v>5</v>
      </c>
      <c r="N9">
        <v>7</v>
      </c>
      <c r="V9" s="1">
        <v>32.620000000000005</v>
      </c>
      <c r="W9">
        <v>5</v>
      </c>
      <c r="X9" s="4">
        <f>V9/W9</f>
        <v>6.5240000000000009</v>
      </c>
    </row>
    <row r="10" spans="1:24" x14ac:dyDescent="0.35">
      <c r="A10" t="s">
        <v>200</v>
      </c>
      <c r="B10" t="s">
        <v>9</v>
      </c>
      <c r="C10" s="12"/>
      <c r="D10" s="1">
        <f t="shared" ref="D10:D41" si="3">SUM(E10:T10)</f>
        <v>32.36</v>
      </c>
      <c r="E10">
        <v>1</v>
      </c>
      <c r="F10">
        <v>2</v>
      </c>
      <c r="G10">
        <f>0.62+0.72+0.67</f>
        <v>2.0099999999999998</v>
      </c>
      <c r="H10">
        <v>1.95</v>
      </c>
      <c r="I10">
        <v>5</v>
      </c>
      <c r="J10">
        <v>6.8</v>
      </c>
      <c r="K10">
        <v>6.6</v>
      </c>
      <c r="M10">
        <v>7</v>
      </c>
      <c r="V10" s="1">
        <v>32.36</v>
      </c>
      <c r="W10">
        <v>5</v>
      </c>
      <c r="X10" s="4">
        <f>V10/W10</f>
        <v>6.4719999999999995</v>
      </c>
    </row>
    <row r="11" spans="1:24" x14ac:dyDescent="0.35">
      <c r="A11" t="s">
        <v>201</v>
      </c>
      <c r="B11" t="s">
        <v>10</v>
      </c>
      <c r="C11" s="7"/>
      <c r="D11" s="1">
        <f t="shared" si="3"/>
        <v>10.6</v>
      </c>
      <c r="Q11">
        <v>2.4</v>
      </c>
      <c r="R11">
        <v>3.2</v>
      </c>
      <c r="S11">
        <v>2.5</v>
      </c>
      <c r="T11">
        <v>2.5</v>
      </c>
      <c r="V11" s="1">
        <v>10.6</v>
      </c>
      <c r="W11">
        <v>5</v>
      </c>
      <c r="X11" s="4">
        <f>V11/W11</f>
        <v>2.12</v>
      </c>
    </row>
    <row r="12" spans="1:24" x14ac:dyDescent="0.35">
      <c r="A12" t="s">
        <v>202</v>
      </c>
      <c r="B12" t="s">
        <v>261</v>
      </c>
      <c r="C12" s="12"/>
      <c r="D12" s="1">
        <f t="shared" si="3"/>
        <v>21.14</v>
      </c>
      <c r="Q12">
        <v>2.4</v>
      </c>
      <c r="R12">
        <v>3.7</v>
      </c>
      <c r="S12">
        <v>4.5999999999999996</v>
      </c>
      <c r="T12">
        <v>10.44</v>
      </c>
      <c r="V12" s="1">
        <v>21.14</v>
      </c>
      <c r="W12">
        <v>10</v>
      </c>
      <c r="X12" s="4">
        <f>V12/W12</f>
        <v>2.1139999999999999</v>
      </c>
    </row>
    <row r="13" spans="1:24" x14ac:dyDescent="0.35">
      <c r="A13" t="s">
        <v>95</v>
      </c>
      <c r="B13" t="s">
        <v>96</v>
      </c>
      <c r="C13" s="12"/>
      <c r="D13" s="1">
        <f t="shared" si="3"/>
        <v>11.2</v>
      </c>
      <c r="R13">
        <v>6.5</v>
      </c>
      <c r="S13">
        <v>4.7</v>
      </c>
      <c r="V13" s="1">
        <v>11.2</v>
      </c>
      <c r="W13">
        <v>10</v>
      </c>
      <c r="X13" s="4">
        <f>V13/W13</f>
        <v>1.1199999999999999</v>
      </c>
    </row>
    <row r="14" spans="1:24" x14ac:dyDescent="0.35">
      <c r="A14" t="s">
        <v>203</v>
      </c>
      <c r="B14" t="s">
        <v>16</v>
      </c>
      <c r="C14" s="12"/>
      <c r="D14" s="1">
        <f t="shared" si="3"/>
        <v>5.55</v>
      </c>
      <c r="L14">
        <v>2.75</v>
      </c>
      <c r="M14">
        <v>1</v>
      </c>
      <c r="N14">
        <v>1</v>
      </c>
      <c r="P14">
        <v>0.8</v>
      </c>
      <c r="V14" s="1">
        <v>5.55</v>
      </c>
      <c r="W14">
        <v>1.5</v>
      </c>
      <c r="X14" s="4">
        <f>V14/W14</f>
        <v>3.6999999999999997</v>
      </c>
    </row>
    <row r="15" spans="1:24" x14ac:dyDescent="0.35">
      <c r="A15" t="s">
        <v>204</v>
      </c>
      <c r="B15" t="s">
        <v>260</v>
      </c>
      <c r="C15" s="12"/>
      <c r="D15" s="1">
        <f t="shared" si="3"/>
        <v>5</v>
      </c>
      <c r="L15">
        <v>2</v>
      </c>
      <c r="M15">
        <v>1.6</v>
      </c>
      <c r="N15">
        <v>0.6</v>
      </c>
      <c r="P15">
        <v>0.8</v>
      </c>
      <c r="V15" s="1">
        <v>5</v>
      </c>
      <c r="W15">
        <v>1.5</v>
      </c>
      <c r="X15" s="4">
        <f>V15/W15</f>
        <v>3.3333333333333335</v>
      </c>
    </row>
    <row r="16" spans="1:24" x14ac:dyDescent="0.35">
      <c r="A16" t="s">
        <v>205</v>
      </c>
      <c r="B16" t="s">
        <v>258</v>
      </c>
      <c r="C16" s="7"/>
      <c r="D16" s="1">
        <f t="shared" si="3"/>
        <v>10.65</v>
      </c>
      <c r="O16">
        <v>4.5</v>
      </c>
      <c r="P16">
        <v>3.4</v>
      </c>
      <c r="Q16">
        <v>1.85</v>
      </c>
      <c r="R16">
        <v>0.9</v>
      </c>
      <c r="V16" s="1">
        <v>10.65</v>
      </c>
      <c r="W16">
        <v>20</v>
      </c>
      <c r="X16" s="4">
        <f>V16/W16</f>
        <v>0.53249999999999997</v>
      </c>
    </row>
    <row r="17" spans="1:24" x14ac:dyDescent="0.35">
      <c r="A17" t="s">
        <v>206</v>
      </c>
      <c r="B17" t="s">
        <v>19</v>
      </c>
      <c r="C17" s="7"/>
      <c r="D17" s="1">
        <f t="shared" si="3"/>
        <v>3.91</v>
      </c>
      <c r="O17">
        <v>1.1000000000000001</v>
      </c>
      <c r="Q17">
        <v>1</v>
      </c>
      <c r="R17">
        <v>1</v>
      </c>
      <c r="S17">
        <v>0.81</v>
      </c>
      <c r="V17" s="1">
        <v>3.91</v>
      </c>
      <c r="W17">
        <v>10</v>
      </c>
      <c r="X17" s="4">
        <f>V17/W17</f>
        <v>0.39100000000000001</v>
      </c>
    </row>
    <row r="18" spans="1:24" x14ac:dyDescent="0.35">
      <c r="A18" t="s">
        <v>207</v>
      </c>
      <c r="B18" t="s">
        <v>23</v>
      </c>
      <c r="C18" s="12"/>
      <c r="D18" s="1">
        <f t="shared" si="3"/>
        <v>5.3900000000000006</v>
      </c>
      <c r="O18">
        <v>0.6</v>
      </c>
      <c r="P18">
        <v>1.6</v>
      </c>
      <c r="Q18">
        <v>1.6</v>
      </c>
      <c r="R18">
        <v>0.8</v>
      </c>
      <c r="S18">
        <v>0.79</v>
      </c>
      <c r="V18" s="1">
        <v>5.3900000000000006</v>
      </c>
      <c r="W18">
        <v>5</v>
      </c>
      <c r="X18" s="4">
        <f>V18/W18</f>
        <v>1.0780000000000001</v>
      </c>
    </row>
    <row r="19" spans="1:24" x14ac:dyDescent="0.35">
      <c r="A19" t="s">
        <v>207</v>
      </c>
      <c r="B19" t="s">
        <v>25</v>
      </c>
      <c r="C19" s="12"/>
      <c r="D19" s="1">
        <f t="shared" si="3"/>
        <v>5.7200000000000006</v>
      </c>
      <c r="O19">
        <v>0.7</v>
      </c>
      <c r="P19">
        <v>1.5</v>
      </c>
      <c r="Q19">
        <v>1.2</v>
      </c>
      <c r="R19">
        <v>1.7</v>
      </c>
      <c r="S19">
        <v>0.62</v>
      </c>
      <c r="V19" s="1">
        <v>5.7200000000000006</v>
      </c>
      <c r="W19">
        <v>5</v>
      </c>
      <c r="X19" s="4">
        <f>V19/W19</f>
        <v>1.1440000000000001</v>
      </c>
    </row>
    <row r="20" spans="1:24" x14ac:dyDescent="0.35">
      <c r="X20" s="4"/>
    </row>
    <row r="21" spans="1:24" x14ac:dyDescent="0.35">
      <c r="A21" s="1" t="s">
        <v>188</v>
      </c>
      <c r="X21" s="4"/>
    </row>
    <row r="22" spans="1:24" x14ac:dyDescent="0.35">
      <c r="A22" s="1" t="s">
        <v>27</v>
      </c>
      <c r="X22" s="4"/>
    </row>
    <row r="23" spans="1:24" x14ac:dyDescent="0.35">
      <c r="A23" t="s">
        <v>208</v>
      </c>
      <c r="B23" t="s">
        <v>28</v>
      </c>
      <c r="C23" s="7"/>
      <c r="D23" s="1">
        <f t="shared" si="3"/>
        <v>6.2799999999999994</v>
      </c>
      <c r="H23">
        <v>0.5</v>
      </c>
      <c r="J23">
        <v>1.6</v>
      </c>
      <c r="K23">
        <v>1.6</v>
      </c>
      <c r="M23">
        <v>1.48</v>
      </c>
      <c r="N23">
        <v>1.1000000000000001</v>
      </c>
      <c r="V23" s="1">
        <v>6.2799999999999994</v>
      </c>
      <c r="W23">
        <v>5</v>
      </c>
      <c r="X23" s="4">
        <f>V23/W23</f>
        <v>1.2559999999999998</v>
      </c>
    </row>
    <row r="24" spans="1:24" x14ac:dyDescent="0.35">
      <c r="A24" t="s">
        <v>209</v>
      </c>
      <c r="B24" t="s">
        <v>29</v>
      </c>
      <c r="C24" s="7"/>
      <c r="D24" s="1">
        <f t="shared" si="3"/>
        <v>7.0599999999999987</v>
      </c>
      <c r="E24">
        <v>0.6</v>
      </c>
      <c r="F24">
        <v>0.7</v>
      </c>
      <c r="G24">
        <v>0.84</v>
      </c>
      <c r="H24">
        <v>0.67</v>
      </c>
      <c r="I24">
        <v>1.05</v>
      </c>
      <c r="J24">
        <v>1.6</v>
      </c>
      <c r="K24">
        <v>1.6</v>
      </c>
      <c r="V24" s="1">
        <v>7.0599999999999987</v>
      </c>
      <c r="W24">
        <v>5</v>
      </c>
      <c r="X24" s="4">
        <f>V24/W24</f>
        <v>1.4119999999999997</v>
      </c>
    </row>
    <row r="25" spans="1:24" x14ac:dyDescent="0.35">
      <c r="A25" t="s">
        <v>210</v>
      </c>
      <c r="B25" t="s">
        <v>98</v>
      </c>
      <c r="C25" s="12"/>
      <c r="D25" s="1">
        <f t="shared" si="3"/>
        <v>26.700000000000003</v>
      </c>
      <c r="O25">
        <v>3.6</v>
      </c>
      <c r="P25">
        <v>4.4000000000000004</v>
      </c>
      <c r="Q25">
        <v>5.4</v>
      </c>
      <c r="R25">
        <v>7.2</v>
      </c>
      <c r="S25">
        <v>6.1</v>
      </c>
      <c r="V25" s="1">
        <v>26.700000000000003</v>
      </c>
      <c r="W25">
        <v>10</v>
      </c>
      <c r="X25" s="4">
        <f>V25/W25</f>
        <v>2.6700000000000004</v>
      </c>
    </row>
    <row r="28" spans="1:24" x14ac:dyDescent="0.35">
      <c r="A28" s="1" t="s">
        <v>189</v>
      </c>
      <c r="X28" s="4"/>
    </row>
    <row r="29" spans="1:24" x14ac:dyDescent="0.35">
      <c r="A29" s="1" t="s">
        <v>32</v>
      </c>
      <c r="X29" s="4"/>
    </row>
    <row r="30" spans="1:24" x14ac:dyDescent="0.35">
      <c r="A30" t="s">
        <v>275</v>
      </c>
      <c r="B30" t="s">
        <v>34</v>
      </c>
      <c r="C30" s="12"/>
      <c r="D30" s="1">
        <f t="shared" si="3"/>
        <v>26</v>
      </c>
      <c r="K30">
        <v>6.1</v>
      </c>
      <c r="L30">
        <v>11</v>
      </c>
      <c r="M30">
        <v>5</v>
      </c>
      <c r="N30">
        <v>3.5</v>
      </c>
      <c r="O30">
        <v>0.4</v>
      </c>
      <c r="V30" s="1">
        <v>26</v>
      </c>
      <c r="W30">
        <v>16</v>
      </c>
      <c r="X30" s="4">
        <f>V30/W30</f>
        <v>1.625</v>
      </c>
    </row>
    <row r="31" spans="1:24" x14ac:dyDescent="0.35">
      <c r="A31" t="s">
        <v>211</v>
      </c>
      <c r="B31" t="s">
        <v>36</v>
      </c>
      <c r="C31" s="7"/>
      <c r="D31" s="1">
        <f t="shared" si="3"/>
        <v>13.899999999999999</v>
      </c>
      <c r="J31">
        <v>2.5</v>
      </c>
      <c r="K31">
        <v>5.3</v>
      </c>
      <c r="L31">
        <v>4.0999999999999996</v>
      </c>
      <c r="M31">
        <v>2</v>
      </c>
      <c r="V31" s="1">
        <v>13.899999999999999</v>
      </c>
      <c r="W31">
        <v>10</v>
      </c>
      <c r="X31" s="4">
        <f>V31/W31</f>
        <v>1.39</v>
      </c>
    </row>
    <row r="32" spans="1:24" x14ac:dyDescent="0.35">
      <c r="A32" t="s">
        <v>212</v>
      </c>
      <c r="B32" t="s">
        <v>38</v>
      </c>
      <c r="C32" s="12"/>
      <c r="D32" s="1">
        <f t="shared" si="3"/>
        <v>17.049999999999997</v>
      </c>
      <c r="I32">
        <v>2.5</v>
      </c>
      <c r="J32">
        <v>3.9</v>
      </c>
      <c r="K32">
        <v>3.8</v>
      </c>
      <c r="L32">
        <v>4.8499999999999996</v>
      </c>
      <c r="M32">
        <v>2</v>
      </c>
      <c r="V32" s="1">
        <v>17.049999999999997</v>
      </c>
      <c r="W32">
        <v>10</v>
      </c>
      <c r="X32" s="4">
        <f>V32/W32</f>
        <v>1.7049999999999996</v>
      </c>
    </row>
    <row r="33" spans="1:24" x14ac:dyDescent="0.35">
      <c r="X33" s="4"/>
    </row>
    <row r="34" spans="1:24" x14ac:dyDescent="0.35">
      <c r="X34" s="4"/>
    </row>
    <row r="35" spans="1:24" x14ac:dyDescent="0.35">
      <c r="A35" s="1" t="s">
        <v>191</v>
      </c>
      <c r="X35" s="4"/>
    </row>
    <row r="36" spans="1:24" x14ac:dyDescent="0.35">
      <c r="A36" s="9" t="s">
        <v>40</v>
      </c>
      <c r="X36" s="4"/>
    </row>
    <row r="37" spans="1:24" x14ac:dyDescent="0.35">
      <c r="A37" t="s">
        <v>213</v>
      </c>
      <c r="B37" t="s">
        <v>41</v>
      </c>
      <c r="C37" s="8"/>
      <c r="D37" s="1">
        <f t="shared" si="3"/>
        <v>0.32999999999999996</v>
      </c>
      <c r="R37">
        <v>0.15</v>
      </c>
      <c r="S37">
        <v>0.18</v>
      </c>
      <c r="V37" s="1">
        <v>0.32999999999999996</v>
      </c>
      <c r="W37">
        <v>1</v>
      </c>
      <c r="X37" s="4">
        <f>V37/W37</f>
        <v>0.32999999999999996</v>
      </c>
    </row>
    <row r="38" spans="1:24" x14ac:dyDescent="0.35">
      <c r="A38" t="s">
        <v>214</v>
      </c>
      <c r="B38" t="s">
        <v>42</v>
      </c>
      <c r="C38" s="12"/>
      <c r="D38" s="1">
        <f t="shared" si="3"/>
        <v>8.7050000000000001</v>
      </c>
      <c r="H38">
        <v>0.12</v>
      </c>
      <c r="I38">
        <v>0.13500000000000001</v>
      </c>
      <c r="J38">
        <v>0.52</v>
      </c>
      <c r="K38">
        <v>0.6</v>
      </c>
      <c r="L38">
        <v>0.5</v>
      </c>
      <c r="M38">
        <v>0.5</v>
      </c>
      <c r="N38">
        <v>0.65</v>
      </c>
      <c r="O38">
        <v>0.57999999999999996</v>
      </c>
      <c r="P38">
        <v>0.62</v>
      </c>
      <c r="Q38">
        <v>0.95</v>
      </c>
      <c r="R38">
        <v>0.85</v>
      </c>
      <c r="S38">
        <v>1</v>
      </c>
      <c r="T38">
        <v>1.68</v>
      </c>
      <c r="V38" s="1">
        <v>8.7050000000000001</v>
      </c>
      <c r="W38">
        <v>4</v>
      </c>
      <c r="X38" s="4">
        <f>V38/W38</f>
        <v>2.17625</v>
      </c>
    </row>
    <row r="39" spans="1:24" x14ac:dyDescent="0.35">
      <c r="A39" t="s">
        <v>215</v>
      </c>
      <c r="B39" t="s">
        <v>260</v>
      </c>
      <c r="C39" s="12"/>
      <c r="D39" s="1">
        <f t="shared" si="3"/>
        <v>43.599999999999994</v>
      </c>
      <c r="O39">
        <v>5</v>
      </c>
      <c r="P39">
        <v>6.1</v>
      </c>
      <c r="Q39">
        <v>7.5</v>
      </c>
      <c r="R39">
        <v>6.9</v>
      </c>
      <c r="S39">
        <v>9.4</v>
      </c>
      <c r="T39">
        <v>8.6999999999999993</v>
      </c>
      <c r="V39" s="1">
        <v>43.599999999999994</v>
      </c>
      <c r="W39">
        <v>5</v>
      </c>
      <c r="X39" s="4">
        <f>V39/W39</f>
        <v>8.7199999999999989</v>
      </c>
    </row>
    <row r="40" spans="1:24" x14ac:dyDescent="0.35">
      <c r="A40" t="s">
        <v>216</v>
      </c>
      <c r="B40" t="s">
        <v>47</v>
      </c>
      <c r="C40" s="7"/>
      <c r="D40" s="1">
        <f t="shared" si="3"/>
        <v>11.18</v>
      </c>
      <c r="M40">
        <v>2</v>
      </c>
      <c r="N40">
        <v>2.8</v>
      </c>
      <c r="O40">
        <v>2.8</v>
      </c>
      <c r="P40">
        <v>3.35</v>
      </c>
      <c r="S40">
        <v>0.23</v>
      </c>
      <c r="V40" s="1">
        <v>11.18</v>
      </c>
      <c r="W40">
        <v>3.5</v>
      </c>
      <c r="X40" s="4">
        <f>V40/W40</f>
        <v>3.1942857142857144</v>
      </c>
    </row>
    <row r="41" spans="1:24" x14ac:dyDescent="0.35">
      <c r="A41" t="s">
        <v>217</v>
      </c>
      <c r="B41" t="s">
        <v>48</v>
      </c>
      <c r="C41" s="12"/>
      <c r="D41" s="1">
        <f t="shared" si="3"/>
        <v>4.6529999999999996</v>
      </c>
      <c r="H41">
        <v>3.5000000000000003E-2</v>
      </c>
      <c r="I41">
        <v>4.8000000000000001E-2</v>
      </c>
      <c r="J41">
        <v>0.18</v>
      </c>
      <c r="K41">
        <v>0.28000000000000003</v>
      </c>
      <c r="L41">
        <v>0.3</v>
      </c>
      <c r="M41">
        <v>0.35</v>
      </c>
      <c r="N41">
        <v>0.65</v>
      </c>
      <c r="O41">
        <v>0.47</v>
      </c>
      <c r="P41">
        <v>0.55000000000000004</v>
      </c>
      <c r="Q41">
        <v>0.4</v>
      </c>
      <c r="R41">
        <v>0.4</v>
      </c>
      <c r="S41">
        <v>0.44</v>
      </c>
      <c r="T41">
        <v>0.55000000000000004</v>
      </c>
      <c r="V41" s="1">
        <v>4.6529999999999996</v>
      </c>
      <c r="W41">
        <v>3.5</v>
      </c>
      <c r="X41" s="4">
        <f>V41/W41</f>
        <v>1.3294285714285714</v>
      </c>
    </row>
    <row r="42" spans="1:24" x14ac:dyDescent="0.35">
      <c r="X42" s="4"/>
    </row>
    <row r="43" spans="1:24" x14ac:dyDescent="0.35">
      <c r="X43" s="4"/>
    </row>
    <row r="44" spans="1:24" x14ac:dyDescent="0.35">
      <c r="A44" s="1" t="s">
        <v>192</v>
      </c>
      <c r="X44" s="4"/>
    </row>
    <row r="45" spans="1:24" x14ac:dyDescent="0.35">
      <c r="A45" s="9" t="s">
        <v>49</v>
      </c>
      <c r="X45" s="4"/>
    </row>
    <row r="46" spans="1:24" x14ac:dyDescent="0.35">
      <c r="A46" t="s">
        <v>218</v>
      </c>
      <c r="B46" t="s">
        <v>50</v>
      </c>
      <c r="C46" s="8"/>
      <c r="D46" s="1">
        <f t="shared" ref="D46:D88" si="4">SUM(E46:T46)</f>
        <v>0.41000000000000003</v>
      </c>
      <c r="J46">
        <v>0.18</v>
      </c>
      <c r="M46">
        <v>0.23</v>
      </c>
      <c r="V46" s="1">
        <v>0.41000000000000003</v>
      </c>
      <c r="W46">
        <v>5</v>
      </c>
      <c r="X46" s="4">
        <f>V46/W46</f>
        <v>8.2000000000000003E-2</v>
      </c>
    </row>
    <row r="47" spans="1:24" x14ac:dyDescent="0.35">
      <c r="X47" s="4"/>
    </row>
    <row r="48" spans="1:24" x14ac:dyDescent="0.35">
      <c r="X48" s="4"/>
    </row>
    <row r="49" spans="1:24" x14ac:dyDescent="0.35">
      <c r="A49" s="1" t="s">
        <v>193</v>
      </c>
      <c r="X49" s="4"/>
    </row>
    <row r="50" spans="1:24" x14ac:dyDescent="0.35">
      <c r="A50" s="9" t="s">
        <v>52</v>
      </c>
      <c r="X50" s="4"/>
    </row>
    <row r="51" spans="1:24" x14ac:dyDescent="0.35">
      <c r="A51" t="s">
        <v>219</v>
      </c>
      <c r="B51" t="s">
        <v>153</v>
      </c>
      <c r="C51" s="8"/>
      <c r="D51" s="1">
        <f t="shared" si="4"/>
        <v>1.48</v>
      </c>
      <c r="T51">
        <v>1.48</v>
      </c>
      <c r="V51" s="1">
        <v>1.48</v>
      </c>
      <c r="W51">
        <v>3</v>
      </c>
      <c r="X51" s="4">
        <f>V51/W51</f>
        <v>0.49333333333333335</v>
      </c>
    </row>
    <row r="52" spans="1:24" x14ac:dyDescent="0.35">
      <c r="A52" t="s">
        <v>219</v>
      </c>
      <c r="B52" t="s">
        <v>54</v>
      </c>
      <c r="C52" s="12"/>
      <c r="D52" s="1">
        <f t="shared" si="4"/>
        <v>17.84</v>
      </c>
      <c r="J52">
        <v>2.5</v>
      </c>
      <c r="K52">
        <v>4.5</v>
      </c>
      <c r="L52">
        <v>3.65</v>
      </c>
      <c r="M52">
        <v>3</v>
      </c>
      <c r="N52">
        <v>2.2000000000000002</v>
      </c>
      <c r="Q52">
        <v>1.25</v>
      </c>
      <c r="S52">
        <v>0.74</v>
      </c>
      <c r="V52" s="1">
        <v>17.84</v>
      </c>
      <c r="W52">
        <v>4</v>
      </c>
      <c r="X52" s="4">
        <f>V52/W52</f>
        <v>4.46</v>
      </c>
    </row>
    <row r="53" spans="1:24" x14ac:dyDescent="0.35">
      <c r="A53" t="s">
        <v>220</v>
      </c>
      <c r="B53" t="s">
        <v>55</v>
      </c>
      <c r="C53" s="12"/>
      <c r="D53" s="1">
        <f t="shared" si="4"/>
        <v>26.570000000000004</v>
      </c>
      <c r="J53">
        <v>3.6</v>
      </c>
      <c r="K53">
        <v>5</v>
      </c>
      <c r="L53">
        <v>3.6</v>
      </c>
      <c r="M53">
        <v>4.2</v>
      </c>
      <c r="N53">
        <v>2.8</v>
      </c>
      <c r="O53">
        <v>3.5</v>
      </c>
      <c r="Q53">
        <v>1.5</v>
      </c>
      <c r="R53">
        <v>0.76</v>
      </c>
      <c r="S53">
        <v>0.67</v>
      </c>
      <c r="T53">
        <v>0.94</v>
      </c>
      <c r="V53" s="1">
        <v>26.570000000000004</v>
      </c>
      <c r="W53">
        <v>4</v>
      </c>
      <c r="X53" s="4">
        <f>V53/W53</f>
        <v>6.642500000000001</v>
      </c>
    </row>
    <row r="54" spans="1:24" x14ac:dyDescent="0.35">
      <c r="A54" t="s">
        <v>221</v>
      </c>
      <c r="B54" t="s">
        <v>56</v>
      </c>
      <c r="C54" s="12"/>
      <c r="D54" s="1">
        <f t="shared" si="4"/>
        <v>6.58</v>
      </c>
      <c r="R54">
        <v>1.65</v>
      </c>
      <c r="S54">
        <v>1.77</v>
      </c>
      <c r="T54">
        <v>3.16</v>
      </c>
      <c r="V54" s="1">
        <v>6.58</v>
      </c>
      <c r="W54">
        <v>3</v>
      </c>
      <c r="X54" s="4">
        <f>V54/W54</f>
        <v>2.1933333333333334</v>
      </c>
    </row>
    <row r="55" spans="1:24" x14ac:dyDescent="0.35">
      <c r="A55" t="s">
        <v>222</v>
      </c>
      <c r="B55" t="s">
        <v>57</v>
      </c>
      <c r="C55" s="7"/>
      <c r="D55" s="1">
        <f t="shared" si="4"/>
        <v>2.7</v>
      </c>
      <c r="P55">
        <v>1.2</v>
      </c>
      <c r="R55">
        <v>1</v>
      </c>
      <c r="T55">
        <v>0.5</v>
      </c>
      <c r="V55" s="1">
        <v>2.7</v>
      </c>
      <c r="W55">
        <v>10</v>
      </c>
      <c r="X55" s="4">
        <f>V55/W55</f>
        <v>0.27</v>
      </c>
    </row>
    <row r="56" spans="1:24" x14ac:dyDescent="0.35">
      <c r="A56" t="s">
        <v>222</v>
      </c>
      <c r="B56" t="s">
        <v>58</v>
      </c>
      <c r="C56" s="7"/>
      <c r="D56" s="1">
        <f t="shared" si="4"/>
        <v>2.7010000000000001</v>
      </c>
      <c r="P56">
        <v>1.2</v>
      </c>
      <c r="R56">
        <v>1</v>
      </c>
      <c r="T56">
        <v>0.501</v>
      </c>
      <c r="V56" s="1">
        <v>2.7010000000000001</v>
      </c>
      <c r="W56">
        <v>10</v>
      </c>
      <c r="X56" s="4">
        <f>V56/W56</f>
        <v>0.27010000000000001</v>
      </c>
    </row>
    <row r="57" spans="1:24" x14ac:dyDescent="0.35">
      <c r="A57" t="s">
        <v>223</v>
      </c>
      <c r="B57" t="s">
        <v>59</v>
      </c>
      <c r="C57" s="12"/>
      <c r="D57" s="1">
        <f t="shared" si="4"/>
        <v>29.400000000000006</v>
      </c>
      <c r="E57">
        <v>1.6</v>
      </c>
      <c r="F57">
        <v>1.5</v>
      </c>
      <c r="G57">
        <v>1.5</v>
      </c>
      <c r="H57">
        <v>1</v>
      </c>
      <c r="I57">
        <v>1</v>
      </c>
      <c r="J57">
        <v>3</v>
      </c>
      <c r="L57">
        <v>6</v>
      </c>
      <c r="M57">
        <v>3</v>
      </c>
      <c r="N57">
        <v>2.5</v>
      </c>
      <c r="O57">
        <v>1.5</v>
      </c>
      <c r="P57">
        <v>3.6</v>
      </c>
      <c r="R57">
        <v>1.6</v>
      </c>
      <c r="S57">
        <v>1.6</v>
      </c>
      <c r="V57" s="1">
        <v>29.400000000000006</v>
      </c>
      <c r="W57">
        <v>5</v>
      </c>
      <c r="X57" s="4">
        <f>V57/W57</f>
        <v>5.8800000000000008</v>
      </c>
    </row>
    <row r="58" spans="1:24" x14ac:dyDescent="0.35">
      <c r="A58" t="s">
        <v>224</v>
      </c>
      <c r="B58" t="s">
        <v>60</v>
      </c>
      <c r="C58" s="12"/>
      <c r="D58" s="1">
        <f t="shared" si="4"/>
        <v>25.76</v>
      </c>
      <c r="E58">
        <v>1.6</v>
      </c>
      <c r="F58">
        <v>1.5</v>
      </c>
      <c r="G58">
        <v>1.5</v>
      </c>
      <c r="H58">
        <v>1.3</v>
      </c>
      <c r="I58">
        <v>0.96</v>
      </c>
      <c r="J58">
        <v>3.45</v>
      </c>
      <c r="K58">
        <v>4.8</v>
      </c>
      <c r="M58">
        <v>3.15</v>
      </c>
      <c r="N58">
        <v>2.5</v>
      </c>
      <c r="O58">
        <v>1.8</v>
      </c>
      <c r="R58">
        <v>1.6</v>
      </c>
      <c r="S58">
        <v>1.6</v>
      </c>
      <c r="V58" s="1">
        <v>25.76</v>
      </c>
      <c r="W58">
        <v>5</v>
      </c>
      <c r="X58" s="4">
        <f>V58/W58</f>
        <v>5.1520000000000001</v>
      </c>
    </row>
    <row r="59" spans="1:24" x14ac:dyDescent="0.35">
      <c r="X59" s="4"/>
    </row>
    <row r="60" spans="1:24" x14ac:dyDescent="0.35">
      <c r="X60" s="4"/>
    </row>
    <row r="61" spans="1:24" x14ac:dyDescent="0.35">
      <c r="A61" s="9" t="s">
        <v>194</v>
      </c>
      <c r="X61" s="4"/>
    </row>
    <row r="62" spans="1:24" x14ac:dyDescent="0.35">
      <c r="A62" s="9" t="s">
        <v>61</v>
      </c>
      <c r="X62" s="4"/>
    </row>
    <row r="63" spans="1:24" x14ac:dyDescent="0.35">
      <c r="A63" t="s">
        <v>225</v>
      </c>
      <c r="B63" t="s">
        <v>62</v>
      </c>
      <c r="C63" s="12"/>
      <c r="D63" s="1">
        <f t="shared" si="4"/>
        <v>24.28</v>
      </c>
      <c r="E63">
        <v>3</v>
      </c>
      <c r="I63">
        <v>1.48</v>
      </c>
      <c r="J63">
        <v>1</v>
      </c>
      <c r="L63">
        <v>5</v>
      </c>
      <c r="M63">
        <v>3</v>
      </c>
      <c r="N63">
        <v>4.8</v>
      </c>
      <c r="P63">
        <v>3</v>
      </c>
      <c r="Q63">
        <v>2</v>
      </c>
      <c r="S63">
        <v>1</v>
      </c>
      <c r="V63" s="1">
        <v>24.28</v>
      </c>
      <c r="W63">
        <v>20</v>
      </c>
      <c r="X63" s="4">
        <f>V63/W63</f>
        <v>1.214</v>
      </c>
    </row>
    <row r="64" spans="1:24" x14ac:dyDescent="0.35">
      <c r="A64" t="s">
        <v>226</v>
      </c>
      <c r="B64" t="s">
        <v>64</v>
      </c>
      <c r="C64" s="12"/>
      <c r="D64" s="1">
        <f t="shared" si="4"/>
        <v>18.5</v>
      </c>
      <c r="J64">
        <v>1</v>
      </c>
      <c r="L64">
        <v>1.5</v>
      </c>
      <c r="M64">
        <v>3</v>
      </c>
      <c r="O64">
        <v>4</v>
      </c>
      <c r="P64">
        <v>3</v>
      </c>
      <c r="Q64">
        <v>4</v>
      </c>
      <c r="R64">
        <v>1</v>
      </c>
      <c r="S64">
        <v>1</v>
      </c>
      <c r="V64" s="1">
        <v>18.5</v>
      </c>
      <c r="W64">
        <v>15</v>
      </c>
      <c r="X64" s="4">
        <f>V64/W64</f>
        <v>1.2333333333333334</v>
      </c>
    </row>
    <row r="65" spans="1:24" x14ac:dyDescent="0.35">
      <c r="A65" t="s">
        <v>227</v>
      </c>
      <c r="B65" t="s">
        <v>99</v>
      </c>
      <c r="C65" s="12"/>
      <c r="D65" s="1">
        <f t="shared" si="4"/>
        <v>12.700000000000001</v>
      </c>
      <c r="J65">
        <v>0.3</v>
      </c>
      <c r="M65">
        <v>3</v>
      </c>
      <c r="N65">
        <v>4</v>
      </c>
      <c r="O65">
        <v>2</v>
      </c>
      <c r="Q65">
        <v>1.6</v>
      </c>
      <c r="R65">
        <v>0.9</v>
      </c>
      <c r="S65">
        <v>0.9</v>
      </c>
      <c r="V65" s="1">
        <v>12.700000000000001</v>
      </c>
      <c r="W65">
        <v>15</v>
      </c>
      <c r="X65" s="4">
        <f>V65/W65</f>
        <v>0.84666666666666679</v>
      </c>
    </row>
    <row r="66" spans="1:24" x14ac:dyDescent="0.35">
      <c r="A66" t="s">
        <v>228</v>
      </c>
      <c r="B66" t="s">
        <v>260</v>
      </c>
      <c r="C66" s="7"/>
      <c r="D66" s="1">
        <f t="shared" si="4"/>
        <v>10.39</v>
      </c>
      <c r="G66">
        <v>0.33</v>
      </c>
      <c r="H66">
        <v>0.56000000000000005</v>
      </c>
      <c r="J66">
        <v>1</v>
      </c>
      <c r="L66">
        <v>1.5</v>
      </c>
      <c r="M66">
        <v>2.5</v>
      </c>
      <c r="O66">
        <v>1.9</v>
      </c>
      <c r="P66">
        <v>1.6</v>
      </c>
      <c r="S66">
        <v>1</v>
      </c>
      <c r="V66" s="1">
        <v>10.39</v>
      </c>
      <c r="W66">
        <v>15</v>
      </c>
      <c r="X66" s="4">
        <f>V66/W66</f>
        <v>0.69266666666666665</v>
      </c>
    </row>
    <row r="67" spans="1:24" x14ac:dyDescent="0.35">
      <c r="A67" t="s">
        <v>229</v>
      </c>
      <c r="B67" t="s">
        <v>258</v>
      </c>
      <c r="C67" s="12"/>
      <c r="D67" s="1">
        <f t="shared" si="4"/>
        <v>1.2590000000000001</v>
      </c>
      <c r="J67">
        <v>1.9E-2</v>
      </c>
      <c r="K67">
        <v>0.13</v>
      </c>
      <c r="L67">
        <v>0.3</v>
      </c>
      <c r="M67">
        <v>0.05</v>
      </c>
      <c r="N67">
        <v>0.05</v>
      </c>
      <c r="O67">
        <v>0.2</v>
      </c>
      <c r="P67">
        <v>0.1</v>
      </c>
      <c r="R67">
        <v>0.2</v>
      </c>
      <c r="S67">
        <v>0.11</v>
      </c>
      <c r="T67">
        <v>0.1</v>
      </c>
      <c r="V67" s="1">
        <v>1.2590000000000001</v>
      </c>
      <c r="W67">
        <v>5</v>
      </c>
      <c r="X67" s="4">
        <f>V67/W67</f>
        <v>0.25180000000000002</v>
      </c>
    </row>
    <row r="68" spans="1:24" x14ac:dyDescent="0.35">
      <c r="X68" s="4"/>
    </row>
    <row r="69" spans="1:24" x14ac:dyDescent="0.35">
      <c r="X69" s="4"/>
    </row>
    <row r="70" spans="1:24" x14ac:dyDescent="0.35">
      <c r="A70" s="9" t="s">
        <v>195</v>
      </c>
      <c r="X70" s="4"/>
    </row>
    <row r="71" spans="1:24" x14ac:dyDescent="0.35">
      <c r="A71" s="9" t="s">
        <v>67</v>
      </c>
      <c r="X71" s="4"/>
    </row>
    <row r="72" spans="1:24" x14ac:dyDescent="0.35">
      <c r="A72" t="s">
        <v>230</v>
      </c>
      <c r="B72" t="s">
        <v>68</v>
      </c>
      <c r="C72" s="12"/>
      <c r="D72" s="1">
        <f t="shared" si="4"/>
        <v>58.25</v>
      </c>
      <c r="J72">
        <v>3.6</v>
      </c>
      <c r="K72">
        <v>14</v>
      </c>
      <c r="L72">
        <v>19</v>
      </c>
      <c r="M72">
        <v>10.4</v>
      </c>
      <c r="N72">
        <v>7.75</v>
      </c>
      <c r="O72">
        <v>3.5</v>
      </c>
      <c r="V72" s="1">
        <v>58.25</v>
      </c>
      <c r="W72">
        <v>10</v>
      </c>
      <c r="X72" s="4">
        <f>V72/W72</f>
        <v>5.8250000000000002</v>
      </c>
    </row>
    <row r="73" spans="1:24" x14ac:dyDescent="0.35">
      <c r="A73" t="s">
        <v>231</v>
      </c>
      <c r="B73" t="s">
        <v>69</v>
      </c>
      <c r="C73" s="12"/>
      <c r="D73" s="1">
        <f t="shared" si="4"/>
        <v>42.15</v>
      </c>
      <c r="J73">
        <v>4</v>
      </c>
      <c r="K73">
        <v>7.2</v>
      </c>
      <c r="L73">
        <v>9.6999999999999993</v>
      </c>
      <c r="M73">
        <v>9</v>
      </c>
      <c r="N73">
        <v>9.5</v>
      </c>
      <c r="O73">
        <v>2.75</v>
      </c>
      <c r="V73" s="1">
        <v>42.15</v>
      </c>
      <c r="W73">
        <v>10</v>
      </c>
      <c r="X73" s="4">
        <f>V73/W73</f>
        <v>4.2149999999999999</v>
      </c>
    </row>
    <row r="74" spans="1:24" x14ac:dyDescent="0.35">
      <c r="A74" t="s">
        <v>232</v>
      </c>
      <c r="B74" t="s">
        <v>70</v>
      </c>
      <c r="C74" s="8"/>
      <c r="D74" s="1">
        <f t="shared" si="4"/>
        <v>3.65</v>
      </c>
      <c r="L74">
        <v>0.9</v>
      </c>
      <c r="M74">
        <v>1.5</v>
      </c>
      <c r="N74">
        <v>1.25</v>
      </c>
      <c r="V74" s="1">
        <v>3.65</v>
      </c>
      <c r="W74">
        <v>10</v>
      </c>
      <c r="X74" s="4">
        <f>V74/W74</f>
        <v>0.36499999999999999</v>
      </c>
    </row>
    <row r="75" spans="1:24" x14ac:dyDescent="0.35">
      <c r="A75" t="s">
        <v>234</v>
      </c>
      <c r="B75" t="s">
        <v>72</v>
      </c>
      <c r="C75" s="8"/>
      <c r="D75" s="1">
        <f t="shared" si="4"/>
        <v>9.6999999999999993</v>
      </c>
      <c r="P75">
        <v>9.6999999999999993</v>
      </c>
      <c r="V75" s="1">
        <v>9.6999999999999993</v>
      </c>
      <c r="W75">
        <v>10</v>
      </c>
      <c r="X75" s="4">
        <f>V75/W75</f>
        <v>0.97</v>
      </c>
    </row>
    <row r="76" spans="1:24" x14ac:dyDescent="0.35">
      <c r="A76" t="s">
        <v>233</v>
      </c>
      <c r="B76" t="s">
        <v>73</v>
      </c>
      <c r="C76" s="7"/>
      <c r="D76" s="1">
        <f t="shared" si="4"/>
        <v>20</v>
      </c>
      <c r="R76">
        <v>10</v>
      </c>
      <c r="S76">
        <v>10</v>
      </c>
      <c r="V76" s="1">
        <v>20</v>
      </c>
      <c r="W76">
        <v>10</v>
      </c>
      <c r="X76" s="4">
        <f>V76/W76</f>
        <v>2</v>
      </c>
    </row>
    <row r="77" spans="1:24" x14ac:dyDescent="0.35">
      <c r="A77" t="s">
        <v>235</v>
      </c>
      <c r="B77" t="s">
        <v>100</v>
      </c>
      <c r="C77" s="12"/>
      <c r="D77" s="1">
        <f t="shared" si="4"/>
        <v>26</v>
      </c>
      <c r="Q77">
        <v>26</v>
      </c>
      <c r="V77" s="1">
        <v>26</v>
      </c>
      <c r="W77">
        <v>10</v>
      </c>
      <c r="X77" s="4">
        <f>V77/W77</f>
        <v>2.6</v>
      </c>
    </row>
    <row r="78" spans="1:24" x14ac:dyDescent="0.35">
      <c r="A78" t="s">
        <v>236</v>
      </c>
      <c r="B78" t="s">
        <v>101</v>
      </c>
      <c r="C78" s="7"/>
      <c r="D78" s="1">
        <f t="shared" si="4"/>
        <v>8.4</v>
      </c>
      <c r="O78">
        <v>8.4</v>
      </c>
      <c r="V78" s="1">
        <v>8.4</v>
      </c>
      <c r="W78">
        <v>10</v>
      </c>
      <c r="X78" s="4">
        <f>V78/W78</f>
        <v>0.84000000000000008</v>
      </c>
    </row>
    <row r="79" spans="1:24" x14ac:dyDescent="0.35">
      <c r="A79" t="s">
        <v>237</v>
      </c>
      <c r="B79" t="s">
        <v>102</v>
      </c>
      <c r="C79" s="7"/>
      <c r="D79" s="1">
        <f t="shared" si="4"/>
        <v>12.759999999999998</v>
      </c>
      <c r="J79">
        <v>1</v>
      </c>
      <c r="K79">
        <v>1.1000000000000001</v>
      </c>
      <c r="L79">
        <v>2.11</v>
      </c>
      <c r="M79">
        <v>1.75</v>
      </c>
      <c r="N79">
        <v>2.8</v>
      </c>
      <c r="O79">
        <v>2.8</v>
      </c>
      <c r="P79">
        <v>1.2</v>
      </c>
      <c r="V79" s="1">
        <v>12.759999999999998</v>
      </c>
      <c r="W79">
        <v>10</v>
      </c>
      <c r="X79" s="4">
        <f>V79/W79</f>
        <v>1.2759999999999998</v>
      </c>
    </row>
    <row r="80" spans="1:24" x14ac:dyDescent="0.35">
      <c r="A80" t="s">
        <v>238</v>
      </c>
      <c r="B80" t="s">
        <v>103</v>
      </c>
      <c r="C80" s="8"/>
      <c r="D80" s="1">
        <f t="shared" si="4"/>
        <v>3.3</v>
      </c>
      <c r="L80">
        <v>0.6</v>
      </c>
      <c r="N80">
        <v>1.4</v>
      </c>
      <c r="O80">
        <v>0.9</v>
      </c>
      <c r="P80">
        <v>0.4</v>
      </c>
      <c r="V80" s="1">
        <v>3.3</v>
      </c>
      <c r="W80">
        <v>5</v>
      </c>
      <c r="X80" s="4">
        <f>V80/W80</f>
        <v>0.65999999999999992</v>
      </c>
    </row>
    <row r="81" spans="1:24" x14ac:dyDescent="0.35">
      <c r="A81" t="s">
        <v>239</v>
      </c>
      <c r="D81" s="1">
        <f t="shared" si="4"/>
        <v>0.39999999999999997</v>
      </c>
      <c r="L81">
        <v>0.3</v>
      </c>
      <c r="M81">
        <v>0.05</v>
      </c>
      <c r="N81">
        <v>0.05</v>
      </c>
      <c r="V81" s="1">
        <v>0.39999999999999997</v>
      </c>
      <c r="X81" s="4"/>
    </row>
    <row r="82" spans="1:24" x14ac:dyDescent="0.35">
      <c r="X82" s="4"/>
    </row>
    <row r="83" spans="1:24" x14ac:dyDescent="0.35">
      <c r="A83" s="1" t="s">
        <v>196</v>
      </c>
      <c r="X83" s="4"/>
    </row>
    <row r="84" spans="1:24" x14ac:dyDescent="0.35">
      <c r="A84" s="9" t="s">
        <v>76</v>
      </c>
      <c r="X84" s="4"/>
    </row>
    <row r="85" spans="1:24" x14ac:dyDescent="0.35">
      <c r="A85" t="s">
        <v>240</v>
      </c>
      <c r="B85" t="s">
        <v>77</v>
      </c>
      <c r="C85" s="12"/>
      <c r="D85" s="1">
        <f t="shared" si="4"/>
        <v>81.650000000000006</v>
      </c>
      <c r="H85">
        <v>0.5</v>
      </c>
      <c r="I85">
        <v>1</v>
      </c>
      <c r="J85">
        <v>2</v>
      </c>
      <c r="K85">
        <v>1.2</v>
      </c>
      <c r="L85">
        <v>7.8</v>
      </c>
      <c r="M85">
        <v>11.5</v>
      </c>
      <c r="N85">
        <v>19.25</v>
      </c>
      <c r="O85">
        <v>16</v>
      </c>
      <c r="P85">
        <v>12.4</v>
      </c>
      <c r="Q85">
        <v>7</v>
      </c>
      <c r="R85">
        <v>3</v>
      </c>
      <c r="V85" s="1">
        <v>81.650000000000006</v>
      </c>
      <c r="W85">
        <v>22</v>
      </c>
      <c r="X85" s="4">
        <f>V85/W85</f>
        <v>3.7113636363636364</v>
      </c>
    </row>
    <row r="86" spans="1:24" x14ac:dyDescent="0.35">
      <c r="A86" t="s">
        <v>240</v>
      </c>
      <c r="B86" t="s">
        <v>79</v>
      </c>
      <c r="C86" s="12"/>
      <c r="D86" s="1">
        <f t="shared" si="4"/>
        <v>94.35</v>
      </c>
      <c r="H86">
        <v>0.5</v>
      </c>
      <c r="I86">
        <v>1.9</v>
      </c>
      <c r="J86">
        <v>6</v>
      </c>
      <c r="K86">
        <v>12.25</v>
      </c>
      <c r="L86">
        <v>10.3</v>
      </c>
      <c r="M86">
        <v>13.6</v>
      </c>
      <c r="N86">
        <v>17.8</v>
      </c>
      <c r="O86">
        <v>8.8000000000000007</v>
      </c>
      <c r="P86">
        <v>13.2</v>
      </c>
      <c r="Q86">
        <v>7</v>
      </c>
      <c r="R86">
        <v>3</v>
      </c>
      <c r="V86" s="1">
        <v>94.35</v>
      </c>
      <c r="W86">
        <v>18</v>
      </c>
      <c r="X86" s="4">
        <f>V86/W86</f>
        <v>5.2416666666666663</v>
      </c>
    </row>
    <row r="87" spans="1:24" x14ac:dyDescent="0.35">
      <c r="A87" t="s">
        <v>316</v>
      </c>
      <c r="B87" t="s">
        <v>81</v>
      </c>
      <c r="C87" s="12"/>
      <c r="D87" s="1">
        <f t="shared" si="4"/>
        <v>82.3</v>
      </c>
      <c r="H87">
        <v>0.5</v>
      </c>
      <c r="I87">
        <v>1.9</v>
      </c>
      <c r="J87">
        <v>4</v>
      </c>
      <c r="K87">
        <v>8</v>
      </c>
      <c r="L87">
        <v>16.600000000000001</v>
      </c>
      <c r="M87">
        <v>14</v>
      </c>
      <c r="N87">
        <v>13</v>
      </c>
      <c r="O87">
        <v>7.5</v>
      </c>
      <c r="P87">
        <v>5.8</v>
      </c>
      <c r="Q87">
        <v>7</v>
      </c>
      <c r="R87">
        <v>4</v>
      </c>
      <c r="V87" s="1">
        <v>82.3</v>
      </c>
      <c r="W87">
        <v>18</v>
      </c>
      <c r="X87" s="4">
        <f>V87/W87</f>
        <v>4.572222222222222</v>
      </c>
    </row>
    <row r="88" spans="1:24" x14ac:dyDescent="0.35">
      <c r="A88" t="s">
        <v>317</v>
      </c>
      <c r="B88" t="s">
        <v>104</v>
      </c>
      <c r="C88" s="7"/>
      <c r="D88" s="1">
        <f t="shared" si="4"/>
        <v>70.939999999999984</v>
      </c>
      <c r="H88">
        <v>0.44</v>
      </c>
      <c r="I88">
        <v>1</v>
      </c>
      <c r="J88">
        <v>3</v>
      </c>
      <c r="K88">
        <v>7.2</v>
      </c>
      <c r="L88">
        <v>12.2</v>
      </c>
      <c r="M88">
        <v>11.1</v>
      </c>
      <c r="N88">
        <v>9.8000000000000007</v>
      </c>
      <c r="O88">
        <v>7.6</v>
      </c>
      <c r="P88">
        <v>6.8</v>
      </c>
      <c r="Q88">
        <v>7</v>
      </c>
      <c r="R88">
        <v>4.8</v>
      </c>
      <c r="V88" s="1">
        <v>70.939999999999984</v>
      </c>
      <c r="W88">
        <v>18</v>
      </c>
      <c r="X88" s="4">
        <f>V88/W88</f>
        <v>3.9411111111111103</v>
      </c>
    </row>
    <row r="89" spans="1:24" x14ac:dyDescent="0.35">
      <c r="A89" t="s">
        <v>105</v>
      </c>
      <c r="B89" t="s">
        <v>106</v>
      </c>
      <c r="C89" s="7"/>
      <c r="D89" s="1">
        <f t="shared" ref="D89:D105" si="5">SUM(E89:T89)</f>
        <v>13.45</v>
      </c>
      <c r="O89">
        <v>3.8</v>
      </c>
      <c r="P89">
        <v>3.4</v>
      </c>
      <c r="Q89">
        <v>6.25</v>
      </c>
      <c r="V89" s="1">
        <v>13.45</v>
      </c>
      <c r="W89">
        <v>7</v>
      </c>
      <c r="X89" s="4">
        <f>V89/W89</f>
        <v>1.9214285714285713</v>
      </c>
    </row>
    <row r="90" spans="1:24" x14ac:dyDescent="0.35">
      <c r="A90" t="s">
        <v>241</v>
      </c>
      <c r="B90" t="s">
        <v>89</v>
      </c>
      <c r="C90" s="8"/>
      <c r="D90" s="1">
        <f t="shared" si="5"/>
        <v>0.1</v>
      </c>
      <c r="M90">
        <v>0.05</v>
      </c>
      <c r="O90">
        <v>0.05</v>
      </c>
      <c r="V90" s="1">
        <v>0.1</v>
      </c>
      <c r="W90">
        <v>5</v>
      </c>
      <c r="X90" s="4">
        <f>V90/W90</f>
        <v>0.02</v>
      </c>
    </row>
    <row r="91" spans="1:24" x14ac:dyDescent="0.35">
      <c r="A91" t="s">
        <v>241</v>
      </c>
      <c r="B91" t="s">
        <v>107</v>
      </c>
      <c r="C91" s="8"/>
      <c r="D91" s="1">
        <f t="shared" si="5"/>
        <v>0.82</v>
      </c>
      <c r="P91">
        <v>0.82</v>
      </c>
      <c r="V91" s="1">
        <v>0.82</v>
      </c>
      <c r="W91">
        <v>5</v>
      </c>
      <c r="X91" s="4">
        <f>V91/W91</f>
        <v>0.16399999999999998</v>
      </c>
    </row>
    <row r="92" spans="1:24" x14ac:dyDescent="0.35">
      <c r="A92" t="s">
        <v>242</v>
      </c>
      <c r="C92" s="12"/>
      <c r="D92" s="1">
        <f t="shared" si="5"/>
        <v>75.599999999999994</v>
      </c>
      <c r="P92">
        <v>12</v>
      </c>
      <c r="Q92">
        <v>18</v>
      </c>
      <c r="R92">
        <v>20</v>
      </c>
      <c r="S92">
        <v>25.6</v>
      </c>
      <c r="V92" s="1">
        <v>75.599999999999994</v>
      </c>
      <c r="X92" s="4"/>
    </row>
    <row r="93" spans="1:24" x14ac:dyDescent="0.35">
      <c r="X93" s="4"/>
    </row>
    <row r="94" spans="1:24" x14ac:dyDescent="0.35">
      <c r="X94" s="4"/>
    </row>
    <row r="95" spans="1:24" x14ac:dyDescent="0.35">
      <c r="A95" s="1" t="s">
        <v>197</v>
      </c>
      <c r="X95" s="4"/>
    </row>
    <row r="96" spans="1:24" x14ac:dyDescent="0.35">
      <c r="A96" s="1" t="s">
        <v>90</v>
      </c>
      <c r="X96" s="4"/>
    </row>
    <row r="97" spans="1:24" x14ac:dyDescent="0.35">
      <c r="A97" t="s">
        <v>243</v>
      </c>
      <c r="B97" t="s">
        <v>259</v>
      </c>
      <c r="C97" s="12"/>
      <c r="D97" s="1">
        <f t="shared" si="5"/>
        <v>0.69099999999999995</v>
      </c>
      <c r="J97">
        <v>0.06</v>
      </c>
      <c r="K97">
        <v>0.1</v>
      </c>
      <c r="L97">
        <v>0.15</v>
      </c>
      <c r="M97">
        <v>5.0999999999999997E-2</v>
      </c>
      <c r="N97">
        <v>0.05</v>
      </c>
      <c r="O97">
        <v>7.0000000000000007E-2</v>
      </c>
      <c r="P97">
        <v>0.1</v>
      </c>
      <c r="S97">
        <v>0.11</v>
      </c>
      <c r="V97" s="1">
        <v>0.69099999999999995</v>
      </c>
      <c r="W97">
        <v>5</v>
      </c>
      <c r="X97" s="4">
        <f>V97/W97</f>
        <v>0.13819999999999999</v>
      </c>
    </row>
    <row r="98" spans="1:24" x14ac:dyDescent="0.35">
      <c r="A98" t="s">
        <v>244</v>
      </c>
      <c r="B98" t="s">
        <v>258</v>
      </c>
      <c r="C98" s="12"/>
      <c r="D98" s="1">
        <f t="shared" si="5"/>
        <v>0.73</v>
      </c>
      <c r="J98">
        <v>0.1</v>
      </c>
      <c r="K98">
        <v>0.1</v>
      </c>
      <c r="L98">
        <v>0.15</v>
      </c>
      <c r="M98">
        <v>0.05</v>
      </c>
      <c r="N98">
        <v>0.05</v>
      </c>
      <c r="O98">
        <v>7.0000000000000007E-2</v>
      </c>
      <c r="P98">
        <v>0.1</v>
      </c>
      <c r="S98">
        <v>0.11</v>
      </c>
      <c r="V98" s="1">
        <v>0.73</v>
      </c>
      <c r="W98">
        <v>5</v>
      </c>
      <c r="X98" s="4">
        <f>V98/W98</f>
        <v>0.14599999999999999</v>
      </c>
    </row>
    <row r="99" spans="1:24" x14ac:dyDescent="0.35">
      <c r="X99" s="4"/>
    </row>
    <row r="100" spans="1:24" x14ac:dyDescent="0.35">
      <c r="X100" s="4"/>
    </row>
    <row r="101" spans="1:24" x14ac:dyDescent="0.35">
      <c r="A101" s="1" t="s">
        <v>198</v>
      </c>
      <c r="X101" s="4"/>
    </row>
    <row r="102" spans="1:24" x14ac:dyDescent="0.35">
      <c r="A102" t="s">
        <v>245</v>
      </c>
      <c r="D102" s="1">
        <f t="shared" si="5"/>
        <v>0.75</v>
      </c>
      <c r="E102">
        <v>0.75</v>
      </c>
      <c r="V102" s="1">
        <v>0.75</v>
      </c>
      <c r="W102">
        <v>3</v>
      </c>
      <c r="X102" s="4">
        <f>V102/W102</f>
        <v>0.25</v>
      </c>
    </row>
    <row r="103" spans="1:24" x14ac:dyDescent="0.35">
      <c r="A103" t="s">
        <v>246</v>
      </c>
      <c r="D103" s="1">
        <f t="shared" si="5"/>
        <v>0.9</v>
      </c>
      <c r="F103">
        <v>0.9</v>
      </c>
      <c r="V103" s="1">
        <v>0.9</v>
      </c>
      <c r="W103">
        <v>3</v>
      </c>
      <c r="X103" s="4">
        <f>V103/W103</f>
        <v>0.3</v>
      </c>
    </row>
    <row r="104" spans="1:24" x14ac:dyDescent="0.35">
      <c r="A104" t="s">
        <v>247</v>
      </c>
      <c r="D104" s="1">
        <f t="shared" si="5"/>
        <v>0.6</v>
      </c>
      <c r="G104">
        <v>0.6</v>
      </c>
      <c r="V104" s="1">
        <v>0.6</v>
      </c>
      <c r="W104">
        <v>2</v>
      </c>
      <c r="X104" s="4">
        <f>V104/W104</f>
        <v>0.3</v>
      </c>
    </row>
    <row r="105" spans="1:24" x14ac:dyDescent="0.35">
      <c r="A105" t="s">
        <v>248</v>
      </c>
      <c r="D105" s="1">
        <f t="shared" si="5"/>
        <v>6.2E-2</v>
      </c>
      <c r="H105">
        <v>1.2E-2</v>
      </c>
      <c r="I105">
        <v>0.05</v>
      </c>
      <c r="V105" s="1">
        <v>6.2E-2</v>
      </c>
      <c r="W105">
        <v>2</v>
      </c>
      <c r="X105" s="4">
        <f>V105/W105</f>
        <v>3.1E-2</v>
      </c>
    </row>
    <row r="107" spans="1:24" s="1" customFormat="1" x14ac:dyDescent="0.35">
      <c r="A107" s="18" t="s">
        <v>254</v>
      </c>
      <c r="E107" s="1">
        <f>SUM(E6:E106)</f>
        <v>10.3</v>
      </c>
      <c r="F107" s="1">
        <f t="shared" ref="F107:T107" si="6">SUM(F6:F106)</f>
        <v>8.6</v>
      </c>
      <c r="G107" s="1">
        <f t="shared" si="6"/>
        <v>11.209999999999999</v>
      </c>
      <c r="H107" s="1">
        <f t="shared" si="6"/>
        <v>12.087000000000002</v>
      </c>
      <c r="I107" s="1">
        <f t="shared" si="6"/>
        <v>28.352999999999998</v>
      </c>
      <c r="J107" s="1">
        <f t="shared" si="6"/>
        <v>81.109000000000009</v>
      </c>
      <c r="K107" s="1">
        <f t="shared" si="6"/>
        <v>109.36</v>
      </c>
      <c r="L107" s="1">
        <f t="shared" si="6"/>
        <v>144.16</v>
      </c>
      <c r="M107" s="1">
        <f t="shared" si="6"/>
        <v>133.46100000000001</v>
      </c>
      <c r="N107" s="1">
        <f t="shared" si="6"/>
        <v>137.65</v>
      </c>
      <c r="O107" s="1">
        <f t="shared" si="6"/>
        <v>104.38999999999997</v>
      </c>
      <c r="P107" s="1">
        <f t="shared" si="6"/>
        <v>114.08999999999999</v>
      </c>
      <c r="Q107" s="1">
        <f t="shared" si="6"/>
        <v>121.95</v>
      </c>
      <c r="R107" s="1">
        <f t="shared" si="6"/>
        <v>97.309999999999988</v>
      </c>
      <c r="S107" s="1">
        <f t="shared" si="6"/>
        <v>92.88</v>
      </c>
      <c r="T107" s="1">
        <f t="shared" si="6"/>
        <v>50.850999999999999</v>
      </c>
      <c r="V107" s="1">
        <f>SUM(E107:T107)+U3</f>
        <v>1322.761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188F6-8B5B-402D-B345-6AE6859262EF}">
  <dimension ref="A1:AP127"/>
  <sheetViews>
    <sheetView topLeftCell="C1" zoomScale="70" zoomScaleNormal="70" workbookViewId="0">
      <selection activeCell="AP1" sqref="AP1:AP1048576"/>
    </sheetView>
  </sheetViews>
  <sheetFormatPr defaultRowHeight="14.5" x14ac:dyDescent="0.35"/>
  <cols>
    <col min="1" max="1" width="30.6328125" customWidth="1"/>
    <col min="2" max="2" width="23.453125" customWidth="1"/>
    <col min="3" max="3" width="13.1796875" style="23" customWidth="1"/>
    <col min="4" max="4" width="10.36328125" style="1" customWidth="1"/>
    <col min="5" max="5" width="8.7265625" style="2"/>
    <col min="39" max="39" width="17.08984375" style="3" customWidth="1"/>
    <col min="40" max="40" width="17.08984375" customWidth="1"/>
    <col min="41" max="41" width="17.08984375" style="4" customWidth="1"/>
    <col min="42" max="42" width="18.7265625" hidden="1" customWidth="1"/>
  </cols>
  <sheetData>
    <row r="1" spans="1:42" x14ac:dyDescent="0.35">
      <c r="A1" s="1" t="s">
        <v>186</v>
      </c>
      <c r="B1" s="1" t="s">
        <v>187</v>
      </c>
      <c r="C1" s="18" t="s">
        <v>249</v>
      </c>
      <c r="E1" s="2">
        <v>1</v>
      </c>
      <c r="F1">
        <v>2</v>
      </c>
      <c r="G1">
        <v>3</v>
      </c>
      <c r="H1">
        <v>4</v>
      </c>
      <c r="I1">
        <v>5</v>
      </c>
      <c r="J1">
        <v>6</v>
      </c>
      <c r="K1">
        <v>7</v>
      </c>
      <c r="L1">
        <v>8</v>
      </c>
      <c r="M1">
        <v>9</v>
      </c>
      <c r="N1">
        <v>10</v>
      </c>
      <c r="O1">
        <v>11</v>
      </c>
      <c r="P1">
        <v>12</v>
      </c>
      <c r="R1">
        <v>13</v>
      </c>
      <c r="T1">
        <v>14</v>
      </c>
      <c r="V1">
        <v>15</v>
      </c>
      <c r="X1">
        <v>16</v>
      </c>
      <c r="Z1">
        <v>17</v>
      </c>
      <c r="AB1">
        <v>18</v>
      </c>
      <c r="AD1">
        <v>19</v>
      </c>
      <c r="AF1">
        <v>20</v>
      </c>
      <c r="AH1">
        <v>21</v>
      </c>
      <c r="AJ1">
        <v>22</v>
      </c>
      <c r="AL1">
        <v>23</v>
      </c>
      <c r="AM1" s="18" t="s">
        <v>328</v>
      </c>
      <c r="AN1" s="1" t="s">
        <v>252</v>
      </c>
      <c r="AO1" s="1" t="s">
        <v>329</v>
      </c>
      <c r="AP1" s="1" t="s">
        <v>330</v>
      </c>
    </row>
    <row r="2" spans="1:42" x14ac:dyDescent="0.35">
      <c r="A2" s="1"/>
      <c r="B2" s="1"/>
      <c r="C2" s="18" t="s">
        <v>250</v>
      </c>
      <c r="E2" s="5">
        <v>43984</v>
      </c>
      <c r="F2" s="6">
        <v>43991</v>
      </c>
      <c r="G2" s="6">
        <v>43998</v>
      </c>
      <c r="H2" s="6">
        <v>44005</v>
      </c>
      <c r="I2" s="6">
        <v>44012</v>
      </c>
      <c r="J2" s="6">
        <v>44019</v>
      </c>
      <c r="K2" s="6">
        <v>44026</v>
      </c>
      <c r="L2" s="6">
        <v>44033</v>
      </c>
      <c r="M2" s="6">
        <v>44040</v>
      </c>
      <c r="N2" s="6">
        <v>44047</v>
      </c>
      <c r="O2" s="6">
        <v>44054</v>
      </c>
      <c r="P2" s="6">
        <v>44061</v>
      </c>
      <c r="Q2" s="6">
        <v>44063</v>
      </c>
      <c r="R2" s="6">
        <v>44068</v>
      </c>
      <c r="S2" s="6">
        <v>44070</v>
      </c>
      <c r="T2" s="6">
        <v>44075</v>
      </c>
      <c r="U2" s="6">
        <v>44077</v>
      </c>
      <c r="V2" s="6">
        <v>44082</v>
      </c>
      <c r="W2" s="6">
        <v>44084</v>
      </c>
      <c r="X2" s="6">
        <v>44089</v>
      </c>
      <c r="Y2" s="6">
        <v>44091</v>
      </c>
      <c r="Z2" s="6">
        <v>44096</v>
      </c>
      <c r="AA2" s="6">
        <v>44098</v>
      </c>
      <c r="AB2" s="6">
        <v>44103</v>
      </c>
      <c r="AC2" s="6">
        <v>44105</v>
      </c>
      <c r="AD2" s="6">
        <v>44110</v>
      </c>
      <c r="AE2" s="6">
        <v>44112</v>
      </c>
      <c r="AF2" s="6">
        <v>44117</v>
      </c>
      <c r="AG2" s="6">
        <v>44119</v>
      </c>
      <c r="AH2" s="6">
        <v>44124</v>
      </c>
      <c r="AI2" s="6">
        <v>44126</v>
      </c>
      <c r="AJ2" s="6">
        <v>44131</v>
      </c>
      <c r="AK2" s="6">
        <v>44133</v>
      </c>
      <c r="AL2" s="6">
        <v>44139</v>
      </c>
      <c r="AM2" s="1" t="s">
        <v>0</v>
      </c>
      <c r="AN2" s="1" t="s">
        <v>93</v>
      </c>
      <c r="AO2" s="1" t="s">
        <v>253</v>
      </c>
    </row>
    <row r="3" spans="1:42" s="1" customFormat="1" x14ac:dyDescent="0.35">
      <c r="C3" s="18" t="s">
        <v>254</v>
      </c>
      <c r="D3" s="1" t="s">
        <v>0</v>
      </c>
      <c r="E3" s="10">
        <f t="shared" ref="E3:AL3" si="0">SUM(E6:E122)</f>
        <v>40</v>
      </c>
      <c r="F3" s="10">
        <f t="shared" si="0"/>
        <v>49.199999999999996</v>
      </c>
      <c r="G3" s="10">
        <f t="shared" si="0"/>
        <v>48.399999999999991</v>
      </c>
      <c r="H3" s="10">
        <f t="shared" si="0"/>
        <v>70.2</v>
      </c>
      <c r="I3" s="10">
        <f t="shared" si="0"/>
        <v>93.1</v>
      </c>
      <c r="J3" s="10">
        <f t="shared" si="0"/>
        <v>97.549999999999983</v>
      </c>
      <c r="K3" s="10">
        <f t="shared" si="0"/>
        <v>95.399999999999991</v>
      </c>
      <c r="L3" s="10">
        <f t="shared" si="0"/>
        <v>78.17</v>
      </c>
      <c r="M3" s="10">
        <f t="shared" si="0"/>
        <v>164.3</v>
      </c>
      <c r="N3" s="10">
        <f t="shared" si="0"/>
        <v>80.400000000000006</v>
      </c>
      <c r="O3" s="10">
        <f t="shared" si="0"/>
        <v>131.71</v>
      </c>
      <c r="P3" s="10">
        <f t="shared" si="0"/>
        <v>173.54999999999998</v>
      </c>
      <c r="Q3" s="10">
        <f t="shared" si="0"/>
        <v>70.100000000000009</v>
      </c>
      <c r="R3" s="10">
        <f t="shared" si="0"/>
        <v>179.95000000000002</v>
      </c>
      <c r="S3" s="10">
        <f t="shared" si="0"/>
        <v>30.599999999999998</v>
      </c>
      <c r="T3" s="10">
        <f t="shared" si="0"/>
        <v>118.86999999999999</v>
      </c>
      <c r="U3" s="10">
        <f t="shared" si="0"/>
        <v>90.169999999999987</v>
      </c>
      <c r="V3" s="10">
        <f t="shared" si="0"/>
        <v>111.55000000000001</v>
      </c>
      <c r="W3" s="10">
        <f t="shared" si="0"/>
        <v>78.709999999999994</v>
      </c>
      <c r="X3" s="10">
        <f t="shared" si="0"/>
        <v>120.47999999999998</v>
      </c>
      <c r="Y3" s="10">
        <f t="shared" si="0"/>
        <v>73.62</v>
      </c>
      <c r="Z3" s="10">
        <f t="shared" si="0"/>
        <v>110.30999999999999</v>
      </c>
      <c r="AA3" s="10">
        <f t="shared" si="0"/>
        <v>61.21</v>
      </c>
      <c r="AB3" s="10">
        <f t="shared" si="0"/>
        <v>82.84</v>
      </c>
      <c r="AC3" s="10">
        <f t="shared" si="0"/>
        <v>60.34</v>
      </c>
      <c r="AD3" s="10">
        <f t="shared" si="0"/>
        <v>75.560000000000016</v>
      </c>
      <c r="AE3" s="10">
        <f t="shared" si="0"/>
        <v>67.809999999999988</v>
      </c>
      <c r="AF3" s="10">
        <f t="shared" si="0"/>
        <v>55.39</v>
      </c>
      <c r="AG3" s="10">
        <f t="shared" si="0"/>
        <v>37.664999999999992</v>
      </c>
      <c r="AH3" s="10">
        <f t="shared" si="0"/>
        <v>108</v>
      </c>
      <c r="AI3" s="10">
        <f t="shared" si="0"/>
        <v>74.180000000000007</v>
      </c>
      <c r="AJ3" s="10">
        <f t="shared" si="0"/>
        <v>47.639999999999993</v>
      </c>
      <c r="AK3" s="10">
        <f t="shared" si="0"/>
        <v>52.500000000000007</v>
      </c>
      <c r="AL3" s="10">
        <f t="shared" si="0"/>
        <v>51.54</v>
      </c>
      <c r="AM3" s="24">
        <f>SUM(E3:AL3)</f>
        <v>2881.0149999999994</v>
      </c>
      <c r="AO3" s="3"/>
    </row>
    <row r="4" spans="1:42" x14ac:dyDescent="0.35">
      <c r="A4" s="1" t="s">
        <v>190</v>
      </c>
      <c r="B4" s="1"/>
      <c r="C4"/>
      <c r="E4"/>
      <c r="AE4" s="1"/>
      <c r="AG4" s="4"/>
      <c r="AM4"/>
      <c r="AO4"/>
    </row>
    <row r="5" spans="1:42" x14ac:dyDescent="0.35">
      <c r="A5" s="1" t="s">
        <v>1</v>
      </c>
      <c r="B5" s="14"/>
      <c r="C5" s="1" t="s">
        <v>333</v>
      </c>
      <c r="E5"/>
      <c r="AE5" s="1"/>
      <c r="AG5" s="4"/>
      <c r="AM5"/>
      <c r="AO5"/>
    </row>
    <row r="6" spans="1:42" x14ac:dyDescent="0.35">
      <c r="A6" t="s">
        <v>255</v>
      </c>
      <c r="B6" t="s">
        <v>2</v>
      </c>
      <c r="C6" s="19"/>
      <c r="D6" s="1">
        <f t="shared" ref="D6:D33" si="1">SUM(E6:AL6)</f>
        <v>13.6</v>
      </c>
      <c r="Y6">
        <v>13.6</v>
      </c>
      <c r="AM6" s="3">
        <f>SUM(E6:AL6)</f>
        <v>13.6</v>
      </c>
      <c r="AN6">
        <v>12</v>
      </c>
      <c r="AO6" s="4">
        <f>AM6/AN6</f>
        <v>1.1333333333333333</v>
      </c>
    </row>
    <row r="7" spans="1:42" x14ac:dyDescent="0.35">
      <c r="A7" t="s">
        <v>257</v>
      </c>
      <c r="B7" t="s">
        <v>3</v>
      </c>
      <c r="C7" s="20"/>
      <c r="D7" s="1">
        <f t="shared" si="1"/>
        <v>100.88</v>
      </c>
      <c r="O7">
        <v>14.3</v>
      </c>
      <c r="R7">
        <v>7.6</v>
      </c>
      <c r="T7">
        <v>3.4</v>
      </c>
      <c r="X7">
        <v>10.83</v>
      </c>
      <c r="Y7">
        <v>4.67</v>
      </c>
      <c r="Z7">
        <v>7.24</v>
      </c>
      <c r="AB7">
        <v>8.77</v>
      </c>
      <c r="AC7">
        <v>9.1999999999999993</v>
      </c>
      <c r="AD7">
        <v>6.45</v>
      </c>
      <c r="AE7">
        <v>3.3</v>
      </c>
      <c r="AJ7">
        <v>13.19</v>
      </c>
      <c r="AK7">
        <v>11.93</v>
      </c>
      <c r="AM7" s="3">
        <f>SUM(E7:AL7)</f>
        <v>100.88</v>
      </c>
      <c r="AN7">
        <v>20</v>
      </c>
      <c r="AO7" s="4">
        <f t="shared" ref="AO7:AO69" si="2">AM7/AN7</f>
        <v>5.0439999999999996</v>
      </c>
    </row>
    <row r="8" spans="1:42" x14ac:dyDescent="0.35">
      <c r="A8" t="s">
        <v>257</v>
      </c>
      <c r="B8" t="s">
        <v>4</v>
      </c>
      <c r="C8" s="20"/>
      <c r="D8" s="1">
        <f t="shared" si="1"/>
        <v>104.25999999999999</v>
      </c>
      <c r="J8">
        <v>4.5</v>
      </c>
      <c r="K8">
        <v>4.4000000000000004</v>
      </c>
      <c r="L8">
        <v>3.8</v>
      </c>
      <c r="M8">
        <v>2.2000000000000002</v>
      </c>
      <c r="N8">
        <v>5.2</v>
      </c>
      <c r="P8">
        <v>8.1999999999999993</v>
      </c>
      <c r="S8">
        <v>7.8</v>
      </c>
      <c r="U8">
        <v>6</v>
      </c>
      <c r="V8">
        <v>6.2</v>
      </c>
      <c r="W8">
        <v>6.25</v>
      </c>
      <c r="AF8">
        <v>6.44</v>
      </c>
      <c r="AG8">
        <v>7.3</v>
      </c>
      <c r="AH8">
        <v>10.73</v>
      </c>
      <c r="AI8">
        <v>5.93</v>
      </c>
      <c r="AK8">
        <v>7.38</v>
      </c>
      <c r="AL8">
        <v>11.93</v>
      </c>
      <c r="AM8" s="3">
        <f t="shared" ref="AM8:AM69" si="3">SUM(E8:AL8)</f>
        <v>104.25999999999999</v>
      </c>
      <c r="AN8">
        <v>28</v>
      </c>
      <c r="AO8" s="4">
        <f t="shared" si="2"/>
        <v>3.7235714285714283</v>
      </c>
    </row>
    <row r="9" spans="1:42" x14ac:dyDescent="0.35">
      <c r="A9" t="s">
        <v>256</v>
      </c>
      <c r="B9" t="s">
        <v>5</v>
      </c>
      <c r="C9" s="20"/>
      <c r="D9" s="1">
        <f t="shared" si="1"/>
        <v>24.900000000000002</v>
      </c>
      <c r="M9">
        <v>2.4</v>
      </c>
      <c r="N9">
        <v>4.7</v>
      </c>
      <c r="T9">
        <v>1.4</v>
      </c>
      <c r="U9">
        <v>3.6</v>
      </c>
      <c r="AG9">
        <v>7.18</v>
      </c>
      <c r="AI9">
        <v>2.19</v>
      </c>
      <c r="AL9">
        <v>3.43</v>
      </c>
      <c r="AM9" s="3">
        <f t="shared" si="3"/>
        <v>24.900000000000002</v>
      </c>
      <c r="AN9">
        <v>10</v>
      </c>
      <c r="AO9" s="4">
        <f t="shared" si="2"/>
        <v>2.4900000000000002</v>
      </c>
    </row>
    <row r="10" spans="1:42" x14ac:dyDescent="0.35">
      <c r="A10" t="s">
        <v>6</v>
      </c>
      <c r="B10" t="s">
        <v>262</v>
      </c>
      <c r="C10" s="20"/>
      <c r="D10" s="1">
        <f t="shared" si="1"/>
        <v>45.350000000000009</v>
      </c>
      <c r="O10">
        <v>3.3</v>
      </c>
      <c r="Q10">
        <v>27.6</v>
      </c>
      <c r="R10">
        <v>7.3</v>
      </c>
      <c r="AB10">
        <v>3.26</v>
      </c>
      <c r="AD10">
        <v>1.1299999999999999</v>
      </c>
      <c r="AF10">
        <v>1.2</v>
      </c>
      <c r="AG10">
        <v>0.33</v>
      </c>
      <c r="AI10">
        <v>0.39</v>
      </c>
      <c r="AK10">
        <v>0.84</v>
      </c>
      <c r="AM10" s="3">
        <f t="shared" si="3"/>
        <v>45.350000000000009</v>
      </c>
      <c r="AN10">
        <v>10</v>
      </c>
      <c r="AO10" s="4">
        <f t="shared" si="2"/>
        <v>4.535000000000001</v>
      </c>
    </row>
    <row r="11" spans="1:42" x14ac:dyDescent="0.35">
      <c r="A11" t="s">
        <v>265</v>
      </c>
      <c r="B11" t="s">
        <v>7</v>
      </c>
      <c r="C11" s="20"/>
      <c r="D11" s="1">
        <f t="shared" si="1"/>
        <v>35.28</v>
      </c>
      <c r="N11">
        <v>1.6</v>
      </c>
      <c r="O11">
        <v>11.4</v>
      </c>
      <c r="P11">
        <v>8</v>
      </c>
      <c r="R11">
        <v>1.3</v>
      </c>
      <c r="V11">
        <v>6.4</v>
      </c>
      <c r="Z11">
        <v>3.11</v>
      </c>
      <c r="AB11">
        <v>0.73</v>
      </c>
      <c r="AF11">
        <v>0.95</v>
      </c>
      <c r="AG11">
        <v>0.2</v>
      </c>
      <c r="AI11">
        <v>1.1200000000000001</v>
      </c>
      <c r="AK11">
        <v>0.47</v>
      </c>
      <c r="AM11" s="3">
        <f t="shared" si="3"/>
        <v>35.28</v>
      </c>
      <c r="AN11">
        <v>10</v>
      </c>
      <c r="AO11" s="4">
        <f t="shared" si="2"/>
        <v>3.528</v>
      </c>
    </row>
    <row r="12" spans="1:42" x14ac:dyDescent="0.35">
      <c r="A12" t="s">
        <v>199</v>
      </c>
      <c r="B12" t="s">
        <v>8</v>
      </c>
      <c r="C12" s="20"/>
      <c r="D12" s="1">
        <f t="shared" si="1"/>
        <v>35.9</v>
      </c>
      <c r="H12">
        <v>3.4</v>
      </c>
      <c r="I12">
        <v>6</v>
      </c>
      <c r="J12">
        <v>4</v>
      </c>
      <c r="K12">
        <v>6.5</v>
      </c>
      <c r="L12">
        <v>6</v>
      </c>
      <c r="M12">
        <v>10</v>
      </c>
      <c r="AM12" s="3">
        <f t="shared" si="3"/>
        <v>35.9</v>
      </c>
      <c r="AN12">
        <v>4</v>
      </c>
      <c r="AO12" s="4">
        <f t="shared" si="2"/>
        <v>8.9749999999999996</v>
      </c>
    </row>
    <row r="13" spans="1:42" x14ac:dyDescent="0.35">
      <c r="A13" t="s">
        <v>200</v>
      </c>
      <c r="B13" t="s">
        <v>9</v>
      </c>
      <c r="C13" s="20"/>
      <c r="D13" s="1">
        <f t="shared" si="1"/>
        <v>27.3</v>
      </c>
      <c r="I13">
        <v>2.2000000000000002</v>
      </c>
      <c r="J13">
        <v>4.4000000000000004</v>
      </c>
      <c r="K13">
        <v>6</v>
      </c>
      <c r="L13">
        <v>6.7</v>
      </c>
      <c r="M13">
        <v>8</v>
      </c>
      <c r="AM13" s="3">
        <f t="shared" si="3"/>
        <v>27.3</v>
      </c>
      <c r="AN13">
        <v>4</v>
      </c>
      <c r="AO13" s="4">
        <f t="shared" si="2"/>
        <v>6.8250000000000002</v>
      </c>
    </row>
    <row r="14" spans="1:42" x14ac:dyDescent="0.35">
      <c r="A14" t="s">
        <v>263</v>
      </c>
      <c r="B14" t="s">
        <v>10</v>
      </c>
      <c r="C14" s="21"/>
      <c r="D14" s="1">
        <f t="shared" si="1"/>
        <v>30.4</v>
      </c>
      <c r="E14" s="2">
        <v>6</v>
      </c>
      <c r="F14">
        <v>24.4</v>
      </c>
      <c r="AM14" s="3">
        <f t="shared" si="3"/>
        <v>30.4</v>
      </c>
      <c r="AN14">
        <v>10</v>
      </c>
      <c r="AO14" s="4">
        <f t="shared" si="2"/>
        <v>3.04</v>
      </c>
    </row>
    <row r="15" spans="1:42" x14ac:dyDescent="0.35">
      <c r="A15" t="s">
        <v>264</v>
      </c>
      <c r="B15" t="s">
        <v>11</v>
      </c>
      <c r="C15" s="21"/>
      <c r="D15" s="1">
        <f t="shared" si="1"/>
        <v>45.699999999999996</v>
      </c>
      <c r="J15">
        <v>12</v>
      </c>
      <c r="K15">
        <v>12.5</v>
      </c>
      <c r="L15">
        <v>12</v>
      </c>
      <c r="M15">
        <v>6.9</v>
      </c>
      <c r="N15">
        <v>2.2999999999999998</v>
      </c>
      <c r="AM15" s="3">
        <f t="shared" si="3"/>
        <v>45.699999999999996</v>
      </c>
      <c r="AN15">
        <v>20</v>
      </c>
      <c r="AO15" s="4">
        <f t="shared" si="2"/>
        <v>2.2849999999999997</v>
      </c>
    </row>
    <row r="16" spans="1:42" x14ac:dyDescent="0.35">
      <c r="A16" t="s">
        <v>266</v>
      </c>
      <c r="B16" t="s">
        <v>11</v>
      </c>
      <c r="C16" s="21"/>
      <c r="D16" s="1">
        <f t="shared" si="1"/>
        <v>26</v>
      </c>
      <c r="E16" s="2">
        <v>16</v>
      </c>
      <c r="G16">
        <v>10</v>
      </c>
      <c r="AM16" s="3">
        <f t="shared" si="3"/>
        <v>26</v>
      </c>
      <c r="AN16">
        <v>15</v>
      </c>
      <c r="AO16" s="4">
        <f t="shared" si="2"/>
        <v>1.7333333333333334</v>
      </c>
    </row>
    <row r="17" spans="1:41" x14ac:dyDescent="0.35">
      <c r="A17" t="s">
        <v>202</v>
      </c>
      <c r="B17" t="s">
        <v>261</v>
      </c>
      <c r="C17" s="21"/>
      <c r="D17" s="1">
        <f t="shared" si="1"/>
        <v>13</v>
      </c>
      <c r="E17" s="2">
        <v>1</v>
      </c>
      <c r="F17">
        <v>1.8</v>
      </c>
      <c r="G17">
        <v>2.4</v>
      </c>
      <c r="H17">
        <v>1.8</v>
      </c>
      <c r="I17">
        <v>6</v>
      </c>
      <c r="AM17" s="3">
        <f t="shared" si="3"/>
        <v>13</v>
      </c>
      <c r="AN17">
        <v>5</v>
      </c>
      <c r="AO17" s="4">
        <f t="shared" si="2"/>
        <v>2.6</v>
      </c>
    </row>
    <row r="18" spans="1:41" x14ac:dyDescent="0.35">
      <c r="A18" t="s">
        <v>267</v>
      </c>
      <c r="B18" t="s">
        <v>14</v>
      </c>
      <c r="C18" s="21"/>
      <c r="D18" s="1">
        <f t="shared" si="1"/>
        <v>34</v>
      </c>
      <c r="F18">
        <v>4</v>
      </c>
      <c r="G18">
        <v>5</v>
      </c>
      <c r="H18">
        <v>1.9</v>
      </c>
      <c r="I18">
        <v>5</v>
      </c>
      <c r="AG18">
        <v>1.3</v>
      </c>
      <c r="AK18">
        <v>7.86</v>
      </c>
      <c r="AL18">
        <v>8.94</v>
      </c>
      <c r="AM18" s="3">
        <f t="shared" si="3"/>
        <v>34</v>
      </c>
      <c r="AN18">
        <v>10</v>
      </c>
      <c r="AO18" s="4">
        <f t="shared" si="2"/>
        <v>3.4</v>
      </c>
    </row>
    <row r="19" spans="1:41" x14ac:dyDescent="0.35">
      <c r="A19" t="s">
        <v>268</v>
      </c>
      <c r="B19" t="s">
        <v>15</v>
      </c>
      <c r="C19" s="21"/>
      <c r="D19" s="1">
        <f t="shared" si="1"/>
        <v>8.33</v>
      </c>
      <c r="AD19">
        <v>0.2</v>
      </c>
      <c r="AF19">
        <v>0.92</v>
      </c>
      <c r="AG19">
        <v>0.65</v>
      </c>
      <c r="AH19">
        <v>2.06</v>
      </c>
      <c r="AJ19">
        <v>4.5</v>
      </c>
      <c r="AM19" s="3">
        <f t="shared" si="3"/>
        <v>8.33</v>
      </c>
      <c r="AN19">
        <v>5</v>
      </c>
      <c r="AO19" s="4">
        <f t="shared" si="2"/>
        <v>1.6659999999999999</v>
      </c>
    </row>
    <row r="20" spans="1:41" x14ac:dyDescent="0.35">
      <c r="A20" t="s">
        <v>203</v>
      </c>
      <c r="B20" t="s">
        <v>16</v>
      </c>
      <c r="C20" s="20"/>
      <c r="D20" s="1">
        <f t="shared" si="1"/>
        <v>1.7</v>
      </c>
      <c r="E20" s="2">
        <v>1.7</v>
      </c>
      <c r="AM20" s="3">
        <f t="shared" si="3"/>
        <v>1.7</v>
      </c>
      <c r="AN20">
        <v>2.5</v>
      </c>
      <c r="AO20" s="4">
        <f t="shared" si="2"/>
        <v>0.67999999999999994</v>
      </c>
    </row>
    <row r="21" spans="1:41" x14ac:dyDescent="0.35">
      <c r="A21" t="s">
        <v>269</v>
      </c>
      <c r="B21" t="s">
        <v>260</v>
      </c>
      <c r="C21" s="20"/>
      <c r="D21" s="1">
        <f t="shared" si="1"/>
        <v>7.0049999999999981</v>
      </c>
      <c r="AA21">
        <v>1.5</v>
      </c>
      <c r="AB21">
        <v>2</v>
      </c>
      <c r="AC21">
        <v>1.8</v>
      </c>
      <c r="AD21">
        <v>1</v>
      </c>
      <c r="AF21">
        <v>0.35</v>
      </c>
      <c r="AG21">
        <v>1.4999999999999999E-2</v>
      </c>
      <c r="AH21">
        <v>0.1</v>
      </c>
      <c r="AJ21">
        <v>0.14000000000000001</v>
      </c>
      <c r="AK21">
        <v>0.1</v>
      </c>
      <c r="AM21" s="3">
        <f t="shared" si="3"/>
        <v>7.0049999999999981</v>
      </c>
      <c r="AN21">
        <v>10</v>
      </c>
      <c r="AO21" s="4">
        <f t="shared" si="2"/>
        <v>0.70049999999999979</v>
      </c>
    </row>
    <row r="22" spans="1:41" x14ac:dyDescent="0.35">
      <c r="A22" t="s">
        <v>204</v>
      </c>
      <c r="B22" t="s">
        <v>17</v>
      </c>
      <c r="C22" s="20"/>
      <c r="D22" s="1">
        <f t="shared" si="1"/>
        <v>3.2</v>
      </c>
      <c r="E22" s="2">
        <v>2</v>
      </c>
      <c r="G22">
        <v>1.2</v>
      </c>
      <c r="AM22" s="3">
        <f t="shared" si="3"/>
        <v>3.2</v>
      </c>
      <c r="AN22">
        <v>2.5</v>
      </c>
      <c r="AO22" s="4">
        <f t="shared" si="2"/>
        <v>1.28</v>
      </c>
    </row>
    <row r="23" spans="1:41" x14ac:dyDescent="0.35">
      <c r="A23" t="s">
        <v>205</v>
      </c>
      <c r="B23" t="s">
        <v>258</v>
      </c>
      <c r="C23" s="21"/>
      <c r="D23" s="1">
        <f t="shared" si="1"/>
        <v>24.400000000000002</v>
      </c>
      <c r="J23">
        <v>2.5</v>
      </c>
      <c r="K23">
        <v>5.2</v>
      </c>
      <c r="L23">
        <v>5.8</v>
      </c>
      <c r="M23">
        <v>2.5</v>
      </c>
      <c r="N23">
        <v>1.6</v>
      </c>
      <c r="O23">
        <v>2.8</v>
      </c>
      <c r="R23">
        <v>4</v>
      </c>
      <c r="AM23" s="3">
        <f t="shared" si="3"/>
        <v>24.400000000000002</v>
      </c>
      <c r="AN23">
        <v>20</v>
      </c>
      <c r="AO23" s="4">
        <f t="shared" si="2"/>
        <v>1.2200000000000002</v>
      </c>
    </row>
    <row r="24" spans="1:41" x14ac:dyDescent="0.35">
      <c r="A24" t="s">
        <v>270</v>
      </c>
      <c r="B24" t="s">
        <v>258</v>
      </c>
      <c r="C24" s="20"/>
      <c r="D24" s="1">
        <f t="shared" si="1"/>
        <v>10.299999999999999</v>
      </c>
      <c r="G24">
        <v>5.6</v>
      </c>
      <c r="H24">
        <v>4</v>
      </c>
      <c r="I24">
        <v>0.7</v>
      </c>
      <c r="AM24" s="3">
        <f t="shared" si="3"/>
        <v>10.299999999999999</v>
      </c>
      <c r="AN24">
        <v>5</v>
      </c>
      <c r="AO24" s="4">
        <f t="shared" si="2"/>
        <v>2.0599999999999996</v>
      </c>
    </row>
    <row r="25" spans="1:41" x14ac:dyDescent="0.35">
      <c r="A25" t="s">
        <v>271</v>
      </c>
      <c r="B25" t="s">
        <v>18</v>
      </c>
      <c r="C25" s="20"/>
      <c r="D25" s="1">
        <f t="shared" si="1"/>
        <v>10</v>
      </c>
      <c r="F25">
        <v>5.6</v>
      </c>
      <c r="H25">
        <v>4.4000000000000004</v>
      </c>
      <c r="AM25" s="3">
        <f t="shared" si="3"/>
        <v>10</v>
      </c>
      <c r="AN25">
        <v>5</v>
      </c>
      <c r="AO25" s="4">
        <f t="shared" si="2"/>
        <v>2</v>
      </c>
    </row>
    <row r="26" spans="1:41" x14ac:dyDescent="0.35">
      <c r="A26" t="s">
        <v>272</v>
      </c>
      <c r="B26" t="s">
        <v>19</v>
      </c>
      <c r="C26" s="20"/>
      <c r="D26" s="1">
        <f t="shared" si="1"/>
        <v>9.6000000000000014</v>
      </c>
      <c r="E26" s="2">
        <v>2.7</v>
      </c>
      <c r="F26">
        <v>0.9</v>
      </c>
      <c r="G26">
        <v>2.6</v>
      </c>
      <c r="H26">
        <v>1.6</v>
      </c>
      <c r="I26">
        <v>1.8</v>
      </c>
      <c r="AM26" s="3">
        <f t="shared" si="3"/>
        <v>9.6000000000000014</v>
      </c>
      <c r="AN26">
        <v>10</v>
      </c>
      <c r="AO26" s="4">
        <f t="shared" si="2"/>
        <v>0.96000000000000019</v>
      </c>
    </row>
    <row r="27" spans="1:41" x14ac:dyDescent="0.35">
      <c r="A27" t="s">
        <v>20</v>
      </c>
      <c r="B27" t="s">
        <v>258</v>
      </c>
      <c r="C27" s="20"/>
      <c r="D27" s="1">
        <f t="shared" si="1"/>
        <v>12.1</v>
      </c>
      <c r="G27">
        <v>5.3</v>
      </c>
      <c r="H27">
        <v>6.8</v>
      </c>
      <c r="AM27" s="3">
        <f t="shared" si="3"/>
        <v>12.1</v>
      </c>
      <c r="AN27">
        <v>5</v>
      </c>
      <c r="AO27" s="4">
        <f t="shared" si="2"/>
        <v>2.42</v>
      </c>
    </row>
    <row r="28" spans="1:41" x14ac:dyDescent="0.35">
      <c r="A28" t="s">
        <v>21</v>
      </c>
      <c r="B28" t="s">
        <v>258</v>
      </c>
      <c r="C28" s="20"/>
      <c r="D28" s="1">
        <f t="shared" si="1"/>
        <v>0</v>
      </c>
      <c r="AM28" s="3">
        <f t="shared" si="3"/>
        <v>0</v>
      </c>
    </row>
    <row r="29" spans="1:41" x14ac:dyDescent="0.35">
      <c r="A29" t="s">
        <v>207</v>
      </c>
      <c r="B29" t="s">
        <v>22</v>
      </c>
      <c r="C29" s="21"/>
      <c r="D29" s="1">
        <f t="shared" si="1"/>
        <v>12.5</v>
      </c>
      <c r="F29">
        <v>4.3</v>
      </c>
      <c r="G29">
        <v>3.5</v>
      </c>
      <c r="H29">
        <v>2.7</v>
      </c>
      <c r="I29">
        <v>2</v>
      </c>
      <c r="AM29" s="3">
        <f t="shared" si="3"/>
        <v>12.5</v>
      </c>
      <c r="AN29">
        <v>5</v>
      </c>
      <c r="AO29" s="4">
        <f t="shared" si="2"/>
        <v>2.5</v>
      </c>
    </row>
    <row r="30" spans="1:41" x14ac:dyDescent="0.35">
      <c r="A30" t="s">
        <v>207</v>
      </c>
      <c r="B30" t="s">
        <v>23</v>
      </c>
      <c r="C30" s="21"/>
      <c r="D30" s="1">
        <f t="shared" si="1"/>
        <v>13.600000000000001</v>
      </c>
      <c r="E30" s="2">
        <v>6.6</v>
      </c>
      <c r="F30">
        <v>2.7</v>
      </c>
      <c r="G30">
        <v>1</v>
      </c>
      <c r="H30">
        <v>2.2000000000000002</v>
      </c>
      <c r="AI30">
        <v>0.8</v>
      </c>
      <c r="AL30">
        <v>0.3</v>
      </c>
      <c r="AM30" s="3">
        <f t="shared" si="3"/>
        <v>13.600000000000001</v>
      </c>
      <c r="AN30">
        <v>10</v>
      </c>
      <c r="AO30" s="4">
        <f t="shared" si="2"/>
        <v>1.36</v>
      </c>
    </row>
    <row r="31" spans="1:41" x14ac:dyDescent="0.35">
      <c r="A31" t="s">
        <v>207</v>
      </c>
      <c r="B31" t="s">
        <v>24</v>
      </c>
      <c r="C31" s="20"/>
      <c r="D31" s="1">
        <f t="shared" si="1"/>
        <v>15.100000000000001</v>
      </c>
      <c r="G31">
        <v>4.4000000000000004</v>
      </c>
      <c r="H31">
        <v>8.8000000000000007</v>
      </c>
      <c r="I31">
        <v>1.9</v>
      </c>
      <c r="AM31" s="3">
        <f t="shared" si="3"/>
        <v>15.100000000000001</v>
      </c>
      <c r="AN31">
        <v>10</v>
      </c>
      <c r="AO31" s="4">
        <f t="shared" si="2"/>
        <v>1.5100000000000002</v>
      </c>
    </row>
    <row r="32" spans="1:41" x14ac:dyDescent="0.35">
      <c r="A32" t="s">
        <v>207</v>
      </c>
      <c r="B32" t="s">
        <v>25</v>
      </c>
      <c r="C32" s="20"/>
      <c r="D32" s="1">
        <f t="shared" si="1"/>
        <v>11.63</v>
      </c>
      <c r="E32" s="2">
        <v>3.5</v>
      </c>
      <c r="F32">
        <v>1.5</v>
      </c>
      <c r="G32">
        <v>0.8</v>
      </c>
      <c r="H32">
        <v>2</v>
      </c>
      <c r="AG32">
        <v>1.43</v>
      </c>
      <c r="AI32">
        <v>0.7</v>
      </c>
      <c r="AK32">
        <v>1.3</v>
      </c>
      <c r="AL32">
        <v>0.4</v>
      </c>
      <c r="AM32" s="3">
        <f t="shared" si="3"/>
        <v>11.63</v>
      </c>
      <c r="AN32">
        <v>10</v>
      </c>
      <c r="AO32" s="4">
        <f t="shared" si="2"/>
        <v>1.163</v>
      </c>
    </row>
    <row r="33" spans="1:41" x14ac:dyDescent="0.35">
      <c r="A33" t="s">
        <v>207</v>
      </c>
      <c r="B33" t="s">
        <v>26</v>
      </c>
      <c r="C33" s="21"/>
      <c r="D33" s="1">
        <f t="shared" si="1"/>
        <v>1.57</v>
      </c>
      <c r="AJ33">
        <v>1.57</v>
      </c>
      <c r="AM33" s="3">
        <f t="shared" si="3"/>
        <v>1.57</v>
      </c>
      <c r="AN33">
        <v>5</v>
      </c>
      <c r="AO33" s="4">
        <f t="shared" si="2"/>
        <v>0.314</v>
      </c>
    </row>
    <row r="34" spans="1:41" x14ac:dyDescent="0.35">
      <c r="C34" s="22"/>
    </row>
    <row r="35" spans="1:41" x14ac:dyDescent="0.35">
      <c r="C35" s="22"/>
    </row>
    <row r="36" spans="1:41" x14ac:dyDescent="0.35">
      <c r="A36" s="1" t="s">
        <v>188</v>
      </c>
      <c r="C36" s="22"/>
    </row>
    <row r="37" spans="1:41" x14ac:dyDescent="0.35">
      <c r="A37" s="1" t="s">
        <v>27</v>
      </c>
      <c r="C37" s="22"/>
    </row>
    <row r="38" spans="1:41" x14ac:dyDescent="0.35">
      <c r="A38" t="s">
        <v>208</v>
      </c>
      <c r="B38" t="s">
        <v>28</v>
      </c>
      <c r="C38" s="21"/>
      <c r="D38" s="1">
        <f>SUM(E38:AL38)</f>
        <v>27.209999999999997</v>
      </c>
      <c r="H38">
        <v>1.9</v>
      </c>
      <c r="I38">
        <v>6</v>
      </c>
      <c r="J38">
        <v>5.3</v>
      </c>
      <c r="K38">
        <v>2.7</v>
      </c>
      <c r="AE38">
        <v>1.55</v>
      </c>
      <c r="AF38">
        <v>2.72</v>
      </c>
      <c r="AG38">
        <v>1.55</v>
      </c>
      <c r="AH38">
        <v>1.77</v>
      </c>
      <c r="AI38">
        <v>1.1200000000000001</v>
      </c>
      <c r="AJ38">
        <v>1.24</v>
      </c>
      <c r="AK38">
        <v>1</v>
      </c>
      <c r="AL38">
        <v>0.36</v>
      </c>
      <c r="AM38" s="3">
        <f t="shared" si="3"/>
        <v>27.209999999999997</v>
      </c>
      <c r="AN38">
        <v>40</v>
      </c>
      <c r="AO38" s="4">
        <f t="shared" si="2"/>
        <v>0.68024999999999991</v>
      </c>
    </row>
    <row r="39" spans="1:41" x14ac:dyDescent="0.35">
      <c r="A39" t="s">
        <v>209</v>
      </c>
      <c r="B39" t="s">
        <v>29</v>
      </c>
      <c r="C39" s="21"/>
      <c r="D39" s="1">
        <f>SUM(E39:AL39)</f>
        <v>10.4</v>
      </c>
      <c r="H39">
        <v>0.2</v>
      </c>
      <c r="I39">
        <v>4</v>
      </c>
      <c r="J39">
        <v>4.2</v>
      </c>
      <c r="K39">
        <v>2</v>
      </c>
      <c r="AM39" s="3">
        <f t="shared" si="3"/>
        <v>10.4</v>
      </c>
      <c r="AN39">
        <v>10</v>
      </c>
      <c r="AO39" s="4">
        <f t="shared" si="2"/>
        <v>1.04</v>
      </c>
    </row>
    <row r="40" spans="1:41" x14ac:dyDescent="0.35">
      <c r="A40" t="s">
        <v>210</v>
      </c>
      <c r="B40" t="s">
        <v>30</v>
      </c>
      <c r="C40" s="21"/>
      <c r="D40" s="1">
        <f>SUM(E40:AL40)</f>
        <v>47.780000000000008</v>
      </c>
      <c r="X40">
        <v>1.2</v>
      </c>
      <c r="AB40">
        <v>1.62</v>
      </c>
      <c r="AD40">
        <v>18.68</v>
      </c>
      <c r="AE40">
        <v>5.12</v>
      </c>
      <c r="AF40">
        <v>2.62</v>
      </c>
      <c r="AG40">
        <v>2.73</v>
      </c>
      <c r="AH40">
        <v>3.54</v>
      </c>
      <c r="AI40">
        <v>1.64</v>
      </c>
      <c r="AJ40">
        <v>5.36</v>
      </c>
      <c r="AK40">
        <v>3.34</v>
      </c>
      <c r="AL40">
        <v>1.93</v>
      </c>
      <c r="AM40" s="3">
        <f t="shared" si="3"/>
        <v>47.780000000000008</v>
      </c>
      <c r="AN40">
        <v>20</v>
      </c>
      <c r="AO40" s="4">
        <f t="shared" si="2"/>
        <v>2.3890000000000002</v>
      </c>
    </row>
    <row r="41" spans="1:41" x14ac:dyDescent="0.35">
      <c r="A41" t="s">
        <v>273</v>
      </c>
      <c r="B41" t="s">
        <v>31</v>
      </c>
      <c r="C41" s="20"/>
      <c r="D41" s="1">
        <f>SUM(E41:AL41)</f>
        <v>57.410000000000004</v>
      </c>
      <c r="E41" s="2">
        <v>0.5</v>
      </c>
      <c r="J41">
        <v>3.6</v>
      </c>
      <c r="K41">
        <v>4.8</v>
      </c>
      <c r="L41">
        <v>2</v>
      </c>
      <c r="M41">
        <v>11.5</v>
      </c>
      <c r="Q41">
        <v>2.8</v>
      </c>
      <c r="R41">
        <v>1.2</v>
      </c>
      <c r="S41">
        <v>1.3</v>
      </c>
      <c r="T41">
        <v>2.8</v>
      </c>
      <c r="U41">
        <v>1.2</v>
      </c>
      <c r="V41">
        <v>1</v>
      </c>
      <c r="W41">
        <v>1.1200000000000001</v>
      </c>
      <c r="X41">
        <v>1.9</v>
      </c>
      <c r="Z41">
        <v>1.04</v>
      </c>
      <c r="AD41">
        <v>1.52</v>
      </c>
      <c r="AE41">
        <v>7.26</v>
      </c>
      <c r="AH41">
        <v>1.96</v>
      </c>
      <c r="AJ41">
        <v>1.2</v>
      </c>
      <c r="AK41">
        <v>2.31</v>
      </c>
      <c r="AL41">
        <v>6.4</v>
      </c>
      <c r="AM41" s="3">
        <f t="shared" si="3"/>
        <v>57.410000000000004</v>
      </c>
      <c r="AN41">
        <v>40</v>
      </c>
      <c r="AO41" s="4">
        <f t="shared" si="2"/>
        <v>1.4352500000000001</v>
      </c>
    </row>
    <row r="42" spans="1:41" x14ac:dyDescent="0.35">
      <c r="C42" s="22"/>
    </row>
    <row r="43" spans="1:41" x14ac:dyDescent="0.35">
      <c r="C43" s="22"/>
    </row>
    <row r="44" spans="1:41" x14ac:dyDescent="0.35">
      <c r="A44" s="1" t="s">
        <v>189</v>
      </c>
      <c r="C44" s="22"/>
    </row>
    <row r="45" spans="1:41" x14ac:dyDescent="0.35">
      <c r="A45" s="1" t="s">
        <v>32</v>
      </c>
      <c r="C45" s="22"/>
    </row>
    <row r="46" spans="1:41" x14ac:dyDescent="0.35">
      <c r="A46" t="s">
        <v>274</v>
      </c>
      <c r="B46" t="s">
        <v>33</v>
      </c>
      <c r="C46" s="20"/>
      <c r="D46" s="1">
        <f t="shared" ref="D46:D52" si="4">SUM(E46:AL46)</f>
        <v>53.709999999999994</v>
      </c>
      <c r="Q46">
        <v>3.3</v>
      </c>
      <c r="R46">
        <v>13.8</v>
      </c>
      <c r="S46">
        <v>3.7</v>
      </c>
      <c r="T46">
        <v>10.1</v>
      </c>
      <c r="U46">
        <v>15.7</v>
      </c>
      <c r="W46">
        <v>5.15</v>
      </c>
      <c r="Y46">
        <v>0.7</v>
      </c>
      <c r="AA46">
        <v>0.9</v>
      </c>
      <c r="AB46">
        <v>0.3</v>
      </c>
      <c r="AD46">
        <v>0.06</v>
      </c>
      <c r="AM46" s="3">
        <f t="shared" si="3"/>
        <v>53.709999999999994</v>
      </c>
      <c r="AN46">
        <v>20</v>
      </c>
      <c r="AO46" s="4">
        <f t="shared" si="2"/>
        <v>2.6854999999999998</v>
      </c>
    </row>
    <row r="47" spans="1:41" x14ac:dyDescent="0.35">
      <c r="A47" t="s">
        <v>275</v>
      </c>
      <c r="B47" t="s">
        <v>34</v>
      </c>
      <c r="C47" s="21"/>
      <c r="D47" s="1">
        <f t="shared" si="4"/>
        <v>6.89</v>
      </c>
      <c r="Q47">
        <v>2.7</v>
      </c>
      <c r="R47">
        <v>3.2</v>
      </c>
      <c r="U47">
        <v>0.6</v>
      </c>
      <c r="X47">
        <v>0.35</v>
      </c>
      <c r="AB47">
        <v>0.04</v>
      </c>
      <c r="AM47" s="3">
        <f t="shared" si="3"/>
        <v>6.89</v>
      </c>
      <c r="AN47">
        <v>10</v>
      </c>
      <c r="AO47" s="4">
        <f t="shared" si="2"/>
        <v>0.68899999999999995</v>
      </c>
    </row>
    <row r="48" spans="1:41" x14ac:dyDescent="0.35">
      <c r="A48" t="s">
        <v>276</v>
      </c>
      <c r="B48" t="s">
        <v>35</v>
      </c>
      <c r="C48" s="20"/>
      <c r="D48" s="1">
        <f t="shared" si="4"/>
        <v>12.57</v>
      </c>
      <c r="Q48">
        <v>2.4</v>
      </c>
      <c r="R48">
        <v>5.6</v>
      </c>
      <c r="V48">
        <v>2.34</v>
      </c>
      <c r="X48">
        <v>1.23</v>
      </c>
      <c r="AA48">
        <v>0.4</v>
      </c>
      <c r="AB48">
        <v>0.53</v>
      </c>
      <c r="AD48">
        <v>7.0000000000000007E-2</v>
      </c>
      <c r="AM48" s="3">
        <f t="shared" si="3"/>
        <v>12.57</v>
      </c>
      <c r="AN48">
        <v>10</v>
      </c>
      <c r="AO48" s="4">
        <f t="shared" si="2"/>
        <v>1.2570000000000001</v>
      </c>
    </row>
    <row r="49" spans="1:41" x14ac:dyDescent="0.35">
      <c r="A49" t="s">
        <v>211</v>
      </c>
      <c r="B49" t="s">
        <v>36</v>
      </c>
      <c r="C49" s="20"/>
      <c r="D49" s="1">
        <f t="shared" si="4"/>
        <v>14</v>
      </c>
      <c r="N49">
        <v>3.6</v>
      </c>
      <c r="O49">
        <v>3.2</v>
      </c>
      <c r="P49">
        <v>5.2</v>
      </c>
      <c r="R49">
        <v>2</v>
      </c>
      <c r="AM49" s="3">
        <f t="shared" si="3"/>
        <v>14</v>
      </c>
      <c r="AN49">
        <v>10</v>
      </c>
      <c r="AO49" s="4">
        <f t="shared" si="2"/>
        <v>1.4</v>
      </c>
    </row>
    <row r="50" spans="1:41" x14ac:dyDescent="0.35">
      <c r="A50" t="s">
        <v>211</v>
      </c>
      <c r="B50" t="s">
        <v>37</v>
      </c>
      <c r="C50" s="20"/>
      <c r="D50" s="1">
        <f t="shared" si="4"/>
        <v>20.54</v>
      </c>
      <c r="K50">
        <v>0.7</v>
      </c>
      <c r="L50">
        <v>5</v>
      </c>
      <c r="M50">
        <v>7.9</v>
      </c>
      <c r="O50">
        <v>1.4</v>
      </c>
      <c r="P50">
        <v>4.3</v>
      </c>
      <c r="R50">
        <v>0.9</v>
      </c>
      <c r="T50">
        <v>0.34</v>
      </c>
      <c r="AM50" s="3">
        <f t="shared" si="3"/>
        <v>20.54</v>
      </c>
      <c r="AN50">
        <v>10</v>
      </c>
      <c r="AO50" s="4">
        <f t="shared" si="2"/>
        <v>2.0539999999999998</v>
      </c>
    </row>
    <row r="51" spans="1:41" x14ac:dyDescent="0.35">
      <c r="A51" t="s">
        <v>212</v>
      </c>
      <c r="B51" t="s">
        <v>38</v>
      </c>
      <c r="C51" s="20"/>
      <c r="D51" s="1">
        <f t="shared" si="4"/>
        <v>18.050000000000004</v>
      </c>
      <c r="N51">
        <v>4.5999999999999996</v>
      </c>
      <c r="O51">
        <v>4.7</v>
      </c>
      <c r="P51">
        <v>6.9</v>
      </c>
      <c r="R51">
        <v>1.8</v>
      </c>
      <c r="T51">
        <v>0.05</v>
      </c>
      <c r="AM51" s="3">
        <f t="shared" si="3"/>
        <v>18.050000000000004</v>
      </c>
      <c r="AN51">
        <v>10</v>
      </c>
      <c r="AO51" s="4">
        <f t="shared" si="2"/>
        <v>1.8050000000000004</v>
      </c>
    </row>
    <row r="52" spans="1:41" x14ac:dyDescent="0.35">
      <c r="A52" t="s">
        <v>212</v>
      </c>
      <c r="B52" t="s">
        <v>39</v>
      </c>
      <c r="C52" s="19"/>
      <c r="D52" s="1">
        <f t="shared" si="4"/>
        <v>6.6</v>
      </c>
      <c r="H52">
        <v>0.2</v>
      </c>
      <c r="I52">
        <v>3.3</v>
      </c>
      <c r="J52">
        <v>1.3</v>
      </c>
      <c r="K52">
        <v>0.5</v>
      </c>
      <c r="M52">
        <v>0.2</v>
      </c>
      <c r="N52">
        <v>0.3</v>
      </c>
      <c r="O52">
        <v>0.7</v>
      </c>
      <c r="R52">
        <v>0.1</v>
      </c>
      <c r="AM52" s="3">
        <f t="shared" si="3"/>
        <v>6.6</v>
      </c>
      <c r="AN52">
        <v>30</v>
      </c>
      <c r="AO52" s="4">
        <f t="shared" si="2"/>
        <v>0.22</v>
      </c>
    </row>
    <row r="53" spans="1:41" x14ac:dyDescent="0.35">
      <c r="C53" s="22"/>
    </row>
    <row r="54" spans="1:41" x14ac:dyDescent="0.35">
      <c r="C54" s="22"/>
    </row>
    <row r="55" spans="1:41" x14ac:dyDescent="0.35">
      <c r="A55" s="1" t="s">
        <v>191</v>
      </c>
      <c r="C55" s="22"/>
    </row>
    <row r="56" spans="1:41" x14ac:dyDescent="0.35">
      <c r="A56" s="9" t="s">
        <v>40</v>
      </c>
      <c r="C56" s="22"/>
    </row>
    <row r="57" spans="1:41" x14ac:dyDescent="0.35">
      <c r="A57" t="s">
        <v>213</v>
      </c>
      <c r="B57" t="s">
        <v>41</v>
      </c>
      <c r="C57" s="20"/>
      <c r="D57" s="1">
        <f t="shared" ref="D57:D64" si="5">SUM(E57:AL57)</f>
        <v>7.1400000000000006</v>
      </c>
      <c r="AA57">
        <v>0.55000000000000004</v>
      </c>
      <c r="AB57">
        <v>0.82</v>
      </c>
      <c r="AC57">
        <v>3</v>
      </c>
      <c r="AJ57">
        <v>1.77</v>
      </c>
      <c r="AK57">
        <v>1</v>
      </c>
      <c r="AM57" s="3">
        <f t="shared" si="3"/>
        <v>7.1400000000000006</v>
      </c>
      <c r="AN57">
        <v>5</v>
      </c>
      <c r="AO57" s="4">
        <f t="shared" si="2"/>
        <v>1.4280000000000002</v>
      </c>
    </row>
    <row r="58" spans="1:41" x14ac:dyDescent="0.35">
      <c r="A58" t="s">
        <v>214</v>
      </c>
      <c r="B58" t="s">
        <v>42</v>
      </c>
      <c r="C58" s="20"/>
      <c r="D58" s="1">
        <f t="shared" si="5"/>
        <v>14.76</v>
      </c>
      <c r="O58">
        <v>0.3</v>
      </c>
      <c r="P58">
        <v>0.3</v>
      </c>
      <c r="R58">
        <v>0.3</v>
      </c>
      <c r="T58">
        <v>0.85</v>
      </c>
      <c r="U58">
        <v>1.4</v>
      </c>
      <c r="V58">
        <v>1.7</v>
      </c>
      <c r="W58">
        <v>0.41</v>
      </c>
      <c r="X58">
        <v>0.82</v>
      </c>
      <c r="Z58">
        <v>0.7</v>
      </c>
      <c r="AC58">
        <v>4.72</v>
      </c>
      <c r="AF58">
        <v>0.6</v>
      </c>
      <c r="AG58">
        <v>0.5</v>
      </c>
      <c r="AJ58">
        <v>2.16</v>
      </c>
      <c r="AM58" s="3">
        <f t="shared" si="3"/>
        <v>14.76</v>
      </c>
      <c r="AN58">
        <v>5</v>
      </c>
      <c r="AO58" s="4">
        <f t="shared" si="2"/>
        <v>2.952</v>
      </c>
    </row>
    <row r="59" spans="1:41" x14ac:dyDescent="0.35">
      <c r="A59" t="s">
        <v>277</v>
      </c>
      <c r="B59" t="s">
        <v>43</v>
      </c>
      <c r="C59" s="22"/>
      <c r="D59" s="1">
        <f t="shared" si="5"/>
        <v>0</v>
      </c>
      <c r="AM59" s="3">
        <f t="shared" si="3"/>
        <v>0</v>
      </c>
    </row>
    <row r="60" spans="1:41" x14ac:dyDescent="0.35">
      <c r="A60" t="s">
        <v>303</v>
      </c>
      <c r="B60" t="s">
        <v>44</v>
      </c>
      <c r="C60" s="21"/>
      <c r="D60" s="1">
        <f t="shared" si="5"/>
        <v>87.7</v>
      </c>
      <c r="I60">
        <v>7.6</v>
      </c>
      <c r="J60">
        <v>5.3</v>
      </c>
      <c r="K60">
        <v>8</v>
      </c>
      <c r="L60">
        <v>5</v>
      </c>
      <c r="M60">
        <v>25</v>
      </c>
      <c r="N60">
        <v>7.9</v>
      </c>
      <c r="O60">
        <v>4.3</v>
      </c>
      <c r="P60">
        <v>12.9</v>
      </c>
      <c r="R60">
        <v>11.7</v>
      </c>
      <c r="AM60" s="3">
        <f t="shared" si="3"/>
        <v>87.7</v>
      </c>
      <c r="AN60">
        <v>10</v>
      </c>
      <c r="AO60" s="4">
        <f t="shared" si="2"/>
        <v>8.77</v>
      </c>
    </row>
    <row r="61" spans="1:41" x14ac:dyDescent="0.35">
      <c r="A61" t="s">
        <v>277</v>
      </c>
      <c r="B61" t="s">
        <v>45</v>
      </c>
      <c r="C61" s="21"/>
      <c r="D61" s="1">
        <f t="shared" si="5"/>
        <v>169.65</v>
      </c>
      <c r="M61">
        <v>6</v>
      </c>
      <c r="O61">
        <v>5.3</v>
      </c>
      <c r="P61">
        <v>14.7</v>
      </c>
      <c r="R61">
        <v>10.5</v>
      </c>
      <c r="T61">
        <v>22</v>
      </c>
      <c r="U61">
        <v>10</v>
      </c>
      <c r="V61">
        <v>23</v>
      </c>
      <c r="W61">
        <v>16.399999999999999</v>
      </c>
      <c r="X61">
        <v>21.1</v>
      </c>
      <c r="Y61">
        <v>18.84</v>
      </c>
      <c r="Z61">
        <v>21.81</v>
      </c>
      <c r="AM61" s="3">
        <f t="shared" si="3"/>
        <v>169.65</v>
      </c>
      <c r="AN61">
        <v>20</v>
      </c>
      <c r="AO61" s="4">
        <f t="shared" si="2"/>
        <v>8.4824999999999999</v>
      </c>
    </row>
    <row r="62" spans="1:41" x14ac:dyDescent="0.35">
      <c r="A62" t="s">
        <v>303</v>
      </c>
      <c r="B62" t="s">
        <v>46</v>
      </c>
      <c r="C62" s="21"/>
      <c r="D62" s="1">
        <f t="shared" si="5"/>
        <v>47.599999999999994</v>
      </c>
      <c r="I62">
        <v>5</v>
      </c>
      <c r="J62">
        <v>4</v>
      </c>
      <c r="K62">
        <v>7.3</v>
      </c>
      <c r="L62">
        <v>4.5</v>
      </c>
      <c r="M62">
        <v>10</v>
      </c>
      <c r="N62">
        <v>9.5</v>
      </c>
      <c r="O62">
        <v>1</v>
      </c>
      <c r="R62">
        <v>6.3</v>
      </c>
      <c r="AM62" s="3">
        <f t="shared" si="3"/>
        <v>47.599999999999994</v>
      </c>
      <c r="AN62">
        <v>10</v>
      </c>
      <c r="AO62" s="4">
        <f t="shared" si="2"/>
        <v>4.76</v>
      </c>
    </row>
    <row r="63" spans="1:41" x14ac:dyDescent="0.35">
      <c r="A63" t="s">
        <v>216</v>
      </c>
      <c r="B63" t="s">
        <v>47</v>
      </c>
      <c r="C63" s="19"/>
      <c r="D63" s="1">
        <f t="shared" si="5"/>
        <v>23.15</v>
      </c>
      <c r="R63">
        <v>2.8</v>
      </c>
      <c r="T63">
        <v>2.8</v>
      </c>
      <c r="U63">
        <v>3.9</v>
      </c>
      <c r="V63">
        <v>3.82</v>
      </c>
      <c r="W63">
        <v>3.4</v>
      </c>
      <c r="X63">
        <v>2.7</v>
      </c>
      <c r="Z63">
        <v>1.27</v>
      </c>
      <c r="AB63">
        <v>0.52</v>
      </c>
      <c r="AD63">
        <v>1.94</v>
      </c>
      <c r="AM63" s="3">
        <f t="shared" si="3"/>
        <v>23.15</v>
      </c>
      <c r="AN63">
        <v>7</v>
      </c>
      <c r="AO63" s="4">
        <f t="shared" si="2"/>
        <v>3.3071428571428569</v>
      </c>
    </row>
    <row r="64" spans="1:41" x14ac:dyDescent="0.35">
      <c r="A64" t="s">
        <v>217</v>
      </c>
      <c r="B64" t="s">
        <v>48</v>
      </c>
      <c r="C64" s="20"/>
      <c r="D64" s="1">
        <f t="shared" si="5"/>
        <v>39.800000000000004</v>
      </c>
      <c r="V64">
        <v>0.91</v>
      </c>
      <c r="W64">
        <v>2.14</v>
      </c>
      <c r="X64">
        <v>5.09</v>
      </c>
      <c r="Y64">
        <v>1.1000000000000001</v>
      </c>
      <c r="AA64">
        <v>1.84</v>
      </c>
      <c r="AB64">
        <v>2</v>
      </c>
      <c r="AC64">
        <v>2.33</v>
      </c>
      <c r="AD64">
        <v>4.67</v>
      </c>
      <c r="AE64">
        <v>4.87</v>
      </c>
      <c r="AF64">
        <v>3.51</v>
      </c>
      <c r="AG64">
        <v>2.97</v>
      </c>
      <c r="AH64">
        <v>1.32</v>
      </c>
      <c r="AI64">
        <v>3.35</v>
      </c>
      <c r="AK64">
        <v>2.27</v>
      </c>
      <c r="AL64">
        <v>1.43</v>
      </c>
      <c r="AM64" s="3">
        <f t="shared" si="3"/>
        <v>39.800000000000004</v>
      </c>
      <c r="AN64">
        <v>15</v>
      </c>
      <c r="AO64" s="4">
        <f t="shared" si="2"/>
        <v>2.6533333333333338</v>
      </c>
    </row>
    <row r="65" spans="1:42" x14ac:dyDescent="0.35">
      <c r="C65" s="22"/>
    </row>
    <row r="66" spans="1:42" x14ac:dyDescent="0.35">
      <c r="C66" s="22"/>
    </row>
    <row r="67" spans="1:42" x14ac:dyDescent="0.35">
      <c r="A67" s="1" t="s">
        <v>192</v>
      </c>
      <c r="C67" s="22"/>
    </row>
    <row r="68" spans="1:42" x14ac:dyDescent="0.35">
      <c r="A68" s="9" t="s">
        <v>49</v>
      </c>
      <c r="C68" s="22"/>
    </row>
    <row r="69" spans="1:42" x14ac:dyDescent="0.35">
      <c r="A69" t="s">
        <v>218</v>
      </c>
      <c r="B69" t="s">
        <v>50</v>
      </c>
      <c r="C69" s="20"/>
      <c r="D69" s="1">
        <f>SUM(E69:AL69)</f>
        <v>6.55</v>
      </c>
      <c r="L69">
        <v>0.03</v>
      </c>
      <c r="P69">
        <v>0.05</v>
      </c>
      <c r="R69">
        <v>0.8</v>
      </c>
      <c r="T69">
        <v>1.73</v>
      </c>
      <c r="U69">
        <v>1</v>
      </c>
      <c r="V69">
        <v>1.1299999999999999</v>
      </c>
      <c r="W69">
        <v>0.5</v>
      </c>
      <c r="X69">
        <v>0.51</v>
      </c>
      <c r="AC69">
        <v>0.8</v>
      </c>
      <c r="AM69" s="3">
        <f t="shared" si="3"/>
        <v>6.55</v>
      </c>
      <c r="AN69">
        <v>15</v>
      </c>
      <c r="AO69" s="4">
        <f t="shared" si="2"/>
        <v>0.43666666666666665</v>
      </c>
      <c r="AP69" t="s">
        <v>51</v>
      </c>
    </row>
    <row r="70" spans="1:42" x14ac:dyDescent="0.35">
      <c r="C70" s="22"/>
    </row>
    <row r="71" spans="1:42" x14ac:dyDescent="0.35">
      <c r="C71" s="22"/>
    </row>
    <row r="72" spans="1:42" x14ac:dyDescent="0.35">
      <c r="A72" s="1" t="s">
        <v>193</v>
      </c>
      <c r="C72" s="22"/>
    </row>
    <row r="73" spans="1:42" x14ac:dyDescent="0.35">
      <c r="A73" s="9" t="s">
        <v>52</v>
      </c>
      <c r="C73" s="22"/>
    </row>
    <row r="74" spans="1:42" x14ac:dyDescent="0.35">
      <c r="A74" t="s">
        <v>219</v>
      </c>
      <c r="B74" t="s">
        <v>53</v>
      </c>
      <c r="C74" s="21"/>
      <c r="D74" s="1">
        <f t="shared" ref="D74:D81" si="6">SUM(E74:AL74)</f>
        <v>126.11</v>
      </c>
      <c r="I74">
        <v>12</v>
      </c>
      <c r="J74">
        <v>10</v>
      </c>
      <c r="K74">
        <v>8</v>
      </c>
      <c r="L74">
        <v>4</v>
      </c>
      <c r="M74">
        <v>4</v>
      </c>
      <c r="N74">
        <v>2</v>
      </c>
      <c r="O74">
        <v>2.5</v>
      </c>
      <c r="P74">
        <v>3.9</v>
      </c>
      <c r="R74">
        <v>5.5</v>
      </c>
      <c r="T74">
        <v>1.7</v>
      </c>
      <c r="V74">
        <v>2.6</v>
      </c>
      <c r="X74">
        <v>2.4</v>
      </c>
      <c r="Z74">
        <v>3.65</v>
      </c>
      <c r="AA74">
        <v>17.14</v>
      </c>
      <c r="AB74">
        <v>10.81</v>
      </c>
      <c r="AE74">
        <v>10.119999999999999</v>
      </c>
      <c r="AF74">
        <v>3</v>
      </c>
      <c r="AH74">
        <v>6.11</v>
      </c>
      <c r="AJ74">
        <v>4.34</v>
      </c>
      <c r="AK74">
        <v>5.0999999999999996</v>
      </c>
      <c r="AL74">
        <v>7.24</v>
      </c>
      <c r="AM74" s="3">
        <f t="shared" ref="AM74:AM122" si="7">SUM(E74:AL74)</f>
        <v>126.11</v>
      </c>
      <c r="AN74">
        <v>25</v>
      </c>
      <c r="AO74" s="4">
        <f t="shared" ref="AO74:AO122" si="8">AM74/AN74</f>
        <v>5.0443999999999996</v>
      </c>
    </row>
    <row r="75" spans="1:42" x14ac:dyDescent="0.35">
      <c r="A75" t="s">
        <v>219</v>
      </c>
      <c r="B75" t="s">
        <v>54</v>
      </c>
      <c r="C75" s="21"/>
      <c r="D75" s="1">
        <f t="shared" si="6"/>
        <v>49.599999999999994</v>
      </c>
      <c r="H75">
        <v>15</v>
      </c>
      <c r="I75">
        <v>10</v>
      </c>
      <c r="J75">
        <v>6</v>
      </c>
      <c r="K75">
        <v>5.8</v>
      </c>
      <c r="L75">
        <v>4.3</v>
      </c>
      <c r="M75">
        <v>4.2</v>
      </c>
      <c r="N75">
        <v>2</v>
      </c>
      <c r="O75">
        <v>2.2999999999999998</v>
      </c>
      <c r="AM75" s="3">
        <f t="shared" si="7"/>
        <v>49.599999999999994</v>
      </c>
      <c r="AN75">
        <v>10</v>
      </c>
      <c r="AO75" s="4">
        <f t="shared" si="8"/>
        <v>4.9599999999999991</v>
      </c>
    </row>
    <row r="76" spans="1:42" x14ac:dyDescent="0.35">
      <c r="A76" t="s">
        <v>220</v>
      </c>
      <c r="B76" t="s">
        <v>55</v>
      </c>
      <c r="C76" s="21"/>
      <c r="D76" s="1">
        <f t="shared" si="6"/>
        <v>77.13000000000001</v>
      </c>
      <c r="H76">
        <v>5</v>
      </c>
      <c r="I76">
        <v>5.3</v>
      </c>
      <c r="J76">
        <v>15.6</v>
      </c>
      <c r="K76">
        <v>5</v>
      </c>
      <c r="L76">
        <v>0.9</v>
      </c>
      <c r="M76">
        <v>4.3</v>
      </c>
      <c r="N76">
        <v>4</v>
      </c>
      <c r="O76">
        <v>7</v>
      </c>
      <c r="P76">
        <v>6.2</v>
      </c>
      <c r="R76">
        <v>11.3</v>
      </c>
      <c r="T76">
        <v>4</v>
      </c>
      <c r="V76">
        <v>3.9</v>
      </c>
      <c r="X76">
        <v>2.9</v>
      </c>
      <c r="Z76">
        <v>1.73</v>
      </c>
      <c r="AM76" s="3">
        <f t="shared" si="7"/>
        <v>77.13000000000001</v>
      </c>
      <c r="AN76">
        <v>10</v>
      </c>
      <c r="AO76" s="4">
        <f t="shared" si="8"/>
        <v>7.713000000000001</v>
      </c>
    </row>
    <row r="77" spans="1:42" x14ac:dyDescent="0.35">
      <c r="A77" t="s">
        <v>221</v>
      </c>
      <c r="B77" t="s">
        <v>56</v>
      </c>
      <c r="C77" s="21"/>
      <c r="D77" s="1">
        <f t="shared" si="6"/>
        <v>89.95</v>
      </c>
      <c r="H77">
        <v>5</v>
      </c>
      <c r="I77">
        <v>4</v>
      </c>
      <c r="J77">
        <v>7.8</v>
      </c>
      <c r="K77">
        <v>5.3</v>
      </c>
      <c r="L77">
        <v>2.2999999999999998</v>
      </c>
      <c r="M77">
        <v>2.2999999999999998</v>
      </c>
      <c r="N77">
        <v>4.9000000000000004</v>
      </c>
      <c r="O77">
        <v>3.9</v>
      </c>
      <c r="P77">
        <v>6.3</v>
      </c>
      <c r="R77">
        <v>14.5</v>
      </c>
      <c r="T77">
        <v>3.5</v>
      </c>
      <c r="V77">
        <v>5.2</v>
      </c>
      <c r="X77">
        <v>5.3</v>
      </c>
      <c r="Z77">
        <v>3.81</v>
      </c>
      <c r="AB77">
        <v>2.4</v>
      </c>
      <c r="AE77">
        <v>3.14</v>
      </c>
      <c r="AF77">
        <v>1.5</v>
      </c>
      <c r="AH77">
        <v>2.09</v>
      </c>
      <c r="AJ77">
        <v>1.94</v>
      </c>
      <c r="AK77">
        <v>2.71</v>
      </c>
      <c r="AL77">
        <v>2.06</v>
      </c>
      <c r="AM77" s="3">
        <f t="shared" si="7"/>
        <v>89.95</v>
      </c>
      <c r="AN77">
        <v>15</v>
      </c>
      <c r="AO77" s="4">
        <f t="shared" si="8"/>
        <v>5.996666666666667</v>
      </c>
    </row>
    <row r="78" spans="1:42" x14ac:dyDescent="0.35">
      <c r="A78" t="s">
        <v>222</v>
      </c>
      <c r="B78" t="s">
        <v>57</v>
      </c>
      <c r="C78" s="19"/>
      <c r="D78" s="1">
        <f t="shared" si="6"/>
        <v>4.5999999999999996</v>
      </c>
      <c r="F78">
        <v>3.2</v>
      </c>
      <c r="G78">
        <v>1.4</v>
      </c>
      <c r="AM78" s="3">
        <f t="shared" si="7"/>
        <v>4.5999999999999996</v>
      </c>
      <c r="AN78">
        <v>10</v>
      </c>
      <c r="AO78" s="4">
        <f t="shared" si="8"/>
        <v>0.45999999999999996</v>
      </c>
    </row>
    <row r="79" spans="1:42" x14ac:dyDescent="0.35">
      <c r="A79" t="s">
        <v>222</v>
      </c>
      <c r="B79" t="s">
        <v>58</v>
      </c>
      <c r="C79" s="19"/>
      <c r="D79" s="1">
        <f t="shared" si="6"/>
        <v>2</v>
      </c>
      <c r="G79">
        <v>2</v>
      </c>
      <c r="AM79" s="3">
        <f t="shared" si="7"/>
        <v>2</v>
      </c>
      <c r="AN79">
        <v>10</v>
      </c>
      <c r="AO79" s="4">
        <f t="shared" si="8"/>
        <v>0.2</v>
      </c>
    </row>
    <row r="80" spans="1:42" x14ac:dyDescent="0.35">
      <c r="A80" t="s">
        <v>223</v>
      </c>
      <c r="B80" t="s">
        <v>59</v>
      </c>
      <c r="C80" s="20"/>
      <c r="D80" s="1">
        <f t="shared" si="6"/>
        <v>37.979999999999997</v>
      </c>
      <c r="F80">
        <v>0.4</v>
      </c>
      <c r="G80">
        <v>1.6</v>
      </c>
      <c r="H80">
        <v>1.3</v>
      </c>
      <c r="I80">
        <v>5.3</v>
      </c>
      <c r="J80">
        <v>2</v>
      </c>
      <c r="K80">
        <v>1.2</v>
      </c>
      <c r="L80">
        <v>4</v>
      </c>
      <c r="M80">
        <v>3</v>
      </c>
      <c r="N80">
        <v>2</v>
      </c>
      <c r="O80">
        <v>0.8</v>
      </c>
      <c r="P80">
        <v>2</v>
      </c>
      <c r="T80">
        <v>3.4</v>
      </c>
      <c r="V80">
        <v>0.4</v>
      </c>
      <c r="AA80">
        <v>3.47</v>
      </c>
      <c r="AB80">
        <v>1.4</v>
      </c>
      <c r="AF80">
        <v>1.2</v>
      </c>
      <c r="AH80">
        <v>1</v>
      </c>
      <c r="AI80">
        <v>1.6</v>
      </c>
      <c r="AJ80">
        <v>1.91</v>
      </c>
      <c r="AM80" s="3">
        <f t="shared" si="7"/>
        <v>37.979999999999997</v>
      </c>
      <c r="AN80">
        <v>5</v>
      </c>
      <c r="AO80" s="4">
        <f t="shared" si="8"/>
        <v>7.5959999999999992</v>
      </c>
    </row>
    <row r="81" spans="1:41" x14ac:dyDescent="0.35">
      <c r="A81" t="s">
        <v>224</v>
      </c>
      <c r="B81" t="s">
        <v>60</v>
      </c>
      <c r="C81" s="20"/>
      <c r="D81" s="1">
        <f t="shared" si="6"/>
        <v>43.670000000000016</v>
      </c>
      <c r="F81">
        <v>0.4</v>
      </c>
      <c r="G81">
        <v>1.6</v>
      </c>
      <c r="H81">
        <v>2</v>
      </c>
      <c r="I81">
        <v>4</v>
      </c>
      <c r="J81">
        <v>1.3</v>
      </c>
      <c r="K81">
        <v>2</v>
      </c>
      <c r="L81">
        <v>6</v>
      </c>
      <c r="M81">
        <v>3.7</v>
      </c>
      <c r="N81">
        <v>2</v>
      </c>
      <c r="O81">
        <v>0.8</v>
      </c>
      <c r="P81">
        <v>2</v>
      </c>
      <c r="T81">
        <v>3.3</v>
      </c>
      <c r="V81">
        <v>0.6</v>
      </c>
      <c r="AA81">
        <v>2.34</v>
      </c>
      <c r="AB81">
        <v>4</v>
      </c>
      <c r="AF81">
        <v>1.45</v>
      </c>
      <c r="AH81">
        <v>1.06</v>
      </c>
      <c r="AI81">
        <v>1.45</v>
      </c>
      <c r="AJ81">
        <v>3.67</v>
      </c>
      <c r="AM81" s="3">
        <f t="shared" si="7"/>
        <v>43.670000000000016</v>
      </c>
      <c r="AN81">
        <v>5</v>
      </c>
      <c r="AO81" s="4">
        <f t="shared" si="8"/>
        <v>8.7340000000000035</v>
      </c>
    </row>
    <row r="82" spans="1:41" x14ac:dyDescent="0.35">
      <c r="C82" s="22"/>
    </row>
    <row r="83" spans="1:41" x14ac:dyDescent="0.35">
      <c r="C83" s="22"/>
    </row>
    <row r="84" spans="1:41" x14ac:dyDescent="0.35">
      <c r="A84" s="9" t="s">
        <v>194</v>
      </c>
      <c r="C84" s="22"/>
    </row>
    <row r="85" spans="1:41" x14ac:dyDescent="0.35">
      <c r="A85" s="9" t="s">
        <v>61</v>
      </c>
      <c r="C85" s="22"/>
    </row>
    <row r="86" spans="1:41" x14ac:dyDescent="0.35">
      <c r="A86" t="s">
        <v>225</v>
      </c>
      <c r="B86" t="s">
        <v>62</v>
      </c>
      <c r="C86" s="20"/>
      <c r="D86" s="1">
        <f t="shared" ref="D86:D92" si="9">SUM(E86:AL86)</f>
        <v>62.57</v>
      </c>
      <c r="M86">
        <v>3</v>
      </c>
      <c r="O86">
        <v>4.7</v>
      </c>
      <c r="P86">
        <v>6</v>
      </c>
      <c r="R86">
        <v>2.5</v>
      </c>
      <c r="T86">
        <v>3.8</v>
      </c>
      <c r="U86">
        <v>11.3</v>
      </c>
      <c r="V86">
        <v>15.77</v>
      </c>
      <c r="W86">
        <v>7.5</v>
      </c>
      <c r="X86">
        <v>8</v>
      </c>
      <c r="AM86" s="3">
        <f t="shared" si="7"/>
        <v>62.57</v>
      </c>
    </row>
    <row r="87" spans="1:41" x14ac:dyDescent="0.35">
      <c r="A87" t="s">
        <v>226</v>
      </c>
      <c r="B87" t="s">
        <v>63</v>
      </c>
      <c r="C87" s="21"/>
      <c r="D87" s="1">
        <f t="shared" si="9"/>
        <v>9.84</v>
      </c>
      <c r="I87">
        <v>1</v>
      </c>
      <c r="J87">
        <v>1.7</v>
      </c>
      <c r="K87">
        <v>2</v>
      </c>
      <c r="L87">
        <v>0.5</v>
      </c>
      <c r="AK87">
        <v>4.6399999999999997</v>
      </c>
      <c r="AM87" s="3">
        <f t="shared" si="7"/>
        <v>9.84</v>
      </c>
    </row>
    <row r="88" spans="1:41" x14ac:dyDescent="0.35">
      <c r="A88" t="s">
        <v>226</v>
      </c>
      <c r="B88" t="s">
        <v>64</v>
      </c>
      <c r="C88" s="20"/>
      <c r="D88" s="1">
        <f t="shared" si="9"/>
        <v>24.2</v>
      </c>
      <c r="J88">
        <v>1.4</v>
      </c>
      <c r="K88">
        <v>2.7</v>
      </c>
      <c r="L88">
        <v>1.4</v>
      </c>
      <c r="M88">
        <v>16</v>
      </c>
      <c r="O88">
        <v>2.7</v>
      </c>
      <c r="AM88" s="3">
        <f t="shared" si="7"/>
        <v>24.2</v>
      </c>
    </row>
    <row r="89" spans="1:41" x14ac:dyDescent="0.35">
      <c r="A89" t="s">
        <v>278</v>
      </c>
      <c r="B89" t="s">
        <v>65</v>
      </c>
      <c r="C89" s="19"/>
      <c r="D89" s="1">
        <f t="shared" si="9"/>
        <v>5.0999999999999996</v>
      </c>
      <c r="T89">
        <v>5.0999999999999996</v>
      </c>
      <c r="AM89" s="3">
        <f t="shared" si="7"/>
        <v>5.0999999999999996</v>
      </c>
    </row>
    <row r="90" spans="1:41" x14ac:dyDescent="0.35">
      <c r="A90" t="s">
        <v>278</v>
      </c>
      <c r="B90" t="s">
        <v>66</v>
      </c>
      <c r="C90" s="19"/>
      <c r="D90" s="1">
        <f t="shared" si="9"/>
        <v>5.8</v>
      </c>
      <c r="T90">
        <v>5.8</v>
      </c>
      <c r="AM90" s="3">
        <f t="shared" si="7"/>
        <v>5.8</v>
      </c>
    </row>
    <row r="91" spans="1:41" x14ac:dyDescent="0.35">
      <c r="A91" t="s">
        <v>228</v>
      </c>
      <c r="B91" t="s">
        <v>260</v>
      </c>
      <c r="C91" s="21"/>
      <c r="D91" s="1">
        <f t="shared" si="9"/>
        <v>50.16</v>
      </c>
      <c r="J91">
        <v>0.35</v>
      </c>
      <c r="K91">
        <v>2.7</v>
      </c>
      <c r="L91">
        <v>2.8</v>
      </c>
      <c r="M91">
        <v>6.4</v>
      </c>
      <c r="N91">
        <v>5.6</v>
      </c>
      <c r="O91">
        <v>3.9</v>
      </c>
      <c r="P91">
        <v>3.2</v>
      </c>
      <c r="R91">
        <v>8.1999999999999993</v>
      </c>
      <c r="T91">
        <v>2.6</v>
      </c>
      <c r="U91">
        <v>2.1</v>
      </c>
      <c r="AE91">
        <v>3.12</v>
      </c>
      <c r="AF91">
        <v>4.22</v>
      </c>
      <c r="AG91">
        <v>1.7</v>
      </c>
      <c r="AK91">
        <v>0.15</v>
      </c>
      <c r="AL91">
        <v>3.12</v>
      </c>
      <c r="AM91" s="3">
        <f t="shared" si="7"/>
        <v>50.16</v>
      </c>
      <c r="AN91">
        <v>24</v>
      </c>
      <c r="AO91" s="4">
        <f t="shared" si="8"/>
        <v>2.09</v>
      </c>
    </row>
    <row r="92" spans="1:41" x14ac:dyDescent="0.35">
      <c r="A92" t="s">
        <v>279</v>
      </c>
      <c r="B92" t="s">
        <v>260</v>
      </c>
      <c r="C92" s="21"/>
      <c r="D92" s="1">
        <f t="shared" si="9"/>
        <v>24.3</v>
      </c>
      <c r="N92">
        <v>12.3</v>
      </c>
      <c r="AI92">
        <v>3.35</v>
      </c>
      <c r="AJ92">
        <v>4.6500000000000004</v>
      </c>
      <c r="AL92">
        <v>4</v>
      </c>
      <c r="AM92" s="3">
        <f t="shared" si="7"/>
        <v>24.3</v>
      </c>
      <c r="AN92">
        <v>24</v>
      </c>
      <c r="AO92" s="4">
        <f t="shared" si="8"/>
        <v>1.0125</v>
      </c>
    </row>
    <row r="93" spans="1:41" x14ac:dyDescent="0.35">
      <c r="C93" s="22"/>
    </row>
    <row r="94" spans="1:41" x14ac:dyDescent="0.35">
      <c r="C94" s="22"/>
    </row>
    <row r="95" spans="1:41" x14ac:dyDescent="0.35">
      <c r="A95" s="9" t="s">
        <v>195</v>
      </c>
      <c r="C95" s="22"/>
    </row>
    <row r="96" spans="1:41" x14ac:dyDescent="0.35">
      <c r="A96" s="9" t="s">
        <v>67</v>
      </c>
      <c r="C96" s="22"/>
    </row>
    <row r="97" spans="1:42" x14ac:dyDescent="0.35">
      <c r="A97" t="s">
        <v>230</v>
      </c>
      <c r="B97" t="s">
        <v>68</v>
      </c>
      <c r="C97" s="20"/>
      <c r="D97" s="1">
        <f t="shared" ref="D97:D103" si="10">SUM(E97:AL97)</f>
        <v>73.559999999999974</v>
      </c>
      <c r="N97">
        <v>1</v>
      </c>
      <c r="O97">
        <v>11</v>
      </c>
      <c r="P97">
        <v>14.4</v>
      </c>
      <c r="Q97">
        <v>8.4</v>
      </c>
      <c r="R97">
        <v>10</v>
      </c>
      <c r="S97">
        <v>3.2</v>
      </c>
      <c r="T97">
        <v>2.4</v>
      </c>
      <c r="U97">
        <v>1.9</v>
      </c>
      <c r="V97">
        <v>5.15</v>
      </c>
      <c r="W97">
        <v>1.8</v>
      </c>
      <c r="X97">
        <v>3.7</v>
      </c>
      <c r="Y97">
        <v>1.4</v>
      </c>
      <c r="Z97">
        <v>2.4900000000000002</v>
      </c>
      <c r="AA97">
        <v>1.8</v>
      </c>
      <c r="AB97">
        <v>1.32</v>
      </c>
      <c r="AD97">
        <v>3</v>
      </c>
      <c r="AF97">
        <v>0.6</v>
      </c>
      <c r="AM97" s="3">
        <f t="shared" si="7"/>
        <v>73.559999999999974</v>
      </c>
      <c r="AN97">
        <v>8</v>
      </c>
      <c r="AO97" s="4">
        <f t="shared" si="8"/>
        <v>9.1949999999999967</v>
      </c>
    </row>
    <row r="98" spans="1:42" x14ac:dyDescent="0.35">
      <c r="A98" t="s">
        <v>231</v>
      </c>
      <c r="B98" t="s">
        <v>69</v>
      </c>
      <c r="C98" s="20"/>
      <c r="D98" s="1">
        <f t="shared" si="10"/>
        <v>91.100000000000009</v>
      </c>
      <c r="L98">
        <v>0.7</v>
      </c>
      <c r="N98">
        <v>0.1</v>
      </c>
      <c r="O98">
        <v>12.4</v>
      </c>
      <c r="P98">
        <v>27.4</v>
      </c>
      <c r="Q98">
        <v>5.2</v>
      </c>
      <c r="R98">
        <v>10.5</v>
      </c>
      <c r="S98">
        <v>2.2000000000000002</v>
      </c>
      <c r="T98">
        <v>3.8</v>
      </c>
      <c r="U98">
        <v>1.1000000000000001</v>
      </c>
      <c r="V98">
        <v>7.34</v>
      </c>
      <c r="W98">
        <v>1.4</v>
      </c>
      <c r="X98">
        <v>5.7</v>
      </c>
      <c r="Y98">
        <v>2.96</v>
      </c>
      <c r="Z98">
        <v>3.44</v>
      </c>
      <c r="AA98">
        <v>2.5</v>
      </c>
      <c r="AB98">
        <v>0.3</v>
      </c>
      <c r="AD98">
        <v>2.66</v>
      </c>
      <c r="AF98">
        <v>1.4</v>
      </c>
      <c r="AM98" s="3">
        <f t="shared" si="7"/>
        <v>91.100000000000009</v>
      </c>
      <c r="AN98">
        <v>8</v>
      </c>
      <c r="AO98" s="4">
        <f t="shared" si="8"/>
        <v>11.387500000000001</v>
      </c>
    </row>
    <row r="99" spans="1:42" x14ac:dyDescent="0.35">
      <c r="A99" t="s">
        <v>280</v>
      </c>
      <c r="B99" t="s">
        <v>70</v>
      </c>
      <c r="C99" s="19"/>
      <c r="D99" s="1">
        <f t="shared" si="10"/>
        <v>20.459999999999997</v>
      </c>
      <c r="P99">
        <v>2.2999999999999998</v>
      </c>
      <c r="Q99">
        <v>0.6</v>
      </c>
      <c r="R99">
        <v>3.8</v>
      </c>
      <c r="S99">
        <v>0.7</v>
      </c>
      <c r="T99">
        <v>6.4</v>
      </c>
      <c r="U99">
        <v>0.6</v>
      </c>
      <c r="V99" t="s">
        <v>71</v>
      </c>
      <c r="W99">
        <v>1</v>
      </c>
      <c r="X99">
        <v>1.3</v>
      </c>
      <c r="Z99">
        <v>2.84</v>
      </c>
      <c r="AA99">
        <v>0.4</v>
      </c>
      <c r="AD99">
        <v>0.02</v>
      </c>
      <c r="AF99">
        <v>0.5</v>
      </c>
      <c r="AM99" s="3">
        <f t="shared" si="7"/>
        <v>20.459999999999997</v>
      </c>
      <c r="AN99">
        <v>6</v>
      </c>
      <c r="AO99" s="4">
        <f t="shared" si="8"/>
        <v>3.4099999999999997</v>
      </c>
    </row>
    <row r="100" spans="1:42" x14ac:dyDescent="0.35">
      <c r="A100" t="s">
        <v>281</v>
      </c>
      <c r="B100" t="s">
        <v>72</v>
      </c>
      <c r="C100" s="21"/>
      <c r="D100" s="1">
        <f t="shared" si="10"/>
        <v>62.370000000000005</v>
      </c>
      <c r="X100">
        <v>8.5</v>
      </c>
      <c r="Y100">
        <v>10</v>
      </c>
      <c r="Z100">
        <v>21.7</v>
      </c>
      <c r="AA100">
        <v>5.42</v>
      </c>
      <c r="AB100">
        <v>14.45</v>
      </c>
      <c r="AF100">
        <v>2.2999999999999998</v>
      </c>
      <c r="AM100" s="3">
        <f t="shared" si="7"/>
        <v>62.370000000000005</v>
      </c>
      <c r="AN100">
        <v>19</v>
      </c>
      <c r="AO100" s="4">
        <f t="shared" si="8"/>
        <v>3.2826315789473686</v>
      </c>
    </row>
    <row r="101" spans="1:42" x14ac:dyDescent="0.35">
      <c r="A101" t="s">
        <v>282</v>
      </c>
      <c r="B101" t="s">
        <v>73</v>
      </c>
      <c r="C101" s="21"/>
      <c r="D101" s="1">
        <f t="shared" si="10"/>
        <v>42.019999999999996</v>
      </c>
      <c r="X101">
        <v>8.1999999999999993</v>
      </c>
      <c r="Y101">
        <v>2.7</v>
      </c>
      <c r="Z101">
        <v>13.8</v>
      </c>
      <c r="AA101">
        <v>6.43</v>
      </c>
      <c r="AB101">
        <v>2.25</v>
      </c>
      <c r="AC101">
        <v>6.44</v>
      </c>
      <c r="AI101">
        <v>2.2000000000000002</v>
      </c>
      <c r="AM101" s="3">
        <f t="shared" si="7"/>
        <v>42.019999999999996</v>
      </c>
      <c r="AN101">
        <v>19</v>
      </c>
      <c r="AO101" s="4">
        <f t="shared" si="8"/>
        <v>2.2115789473684209</v>
      </c>
    </row>
    <row r="102" spans="1:42" x14ac:dyDescent="0.35">
      <c r="A102" t="s">
        <v>283</v>
      </c>
      <c r="B102" t="s">
        <v>74</v>
      </c>
      <c r="C102" s="20"/>
      <c r="D102" s="1">
        <f t="shared" si="10"/>
        <v>63.760000000000005</v>
      </c>
      <c r="M102">
        <v>10</v>
      </c>
      <c r="O102">
        <v>9</v>
      </c>
      <c r="P102">
        <v>14.6</v>
      </c>
      <c r="Q102">
        <v>4.5999999999999996</v>
      </c>
      <c r="R102">
        <v>7.9</v>
      </c>
      <c r="S102">
        <v>1.2</v>
      </c>
      <c r="T102">
        <v>2.6</v>
      </c>
      <c r="U102">
        <v>3</v>
      </c>
      <c r="V102">
        <v>2.33</v>
      </c>
      <c r="W102">
        <v>2</v>
      </c>
      <c r="X102">
        <v>1.1200000000000001</v>
      </c>
      <c r="Y102">
        <v>1</v>
      </c>
      <c r="Z102">
        <v>0.63</v>
      </c>
      <c r="AA102">
        <v>1.52</v>
      </c>
      <c r="AB102">
        <v>0.43</v>
      </c>
      <c r="AC102">
        <v>0.65</v>
      </c>
      <c r="AD102">
        <v>0.48</v>
      </c>
      <c r="AE102">
        <v>0.5</v>
      </c>
      <c r="AF102">
        <v>0.2</v>
      </c>
      <c r="AM102" s="3">
        <f t="shared" si="7"/>
        <v>63.760000000000005</v>
      </c>
      <c r="AN102">
        <v>17</v>
      </c>
      <c r="AO102" s="4">
        <f t="shared" si="8"/>
        <v>3.750588235294118</v>
      </c>
    </row>
    <row r="103" spans="1:42" x14ac:dyDescent="0.35">
      <c r="A103" t="s">
        <v>283</v>
      </c>
      <c r="B103" t="s">
        <v>75</v>
      </c>
      <c r="C103" s="20"/>
      <c r="D103" s="1">
        <f t="shared" si="10"/>
        <v>71.760000000000005</v>
      </c>
      <c r="M103">
        <v>14</v>
      </c>
      <c r="O103">
        <v>11.7</v>
      </c>
      <c r="P103">
        <v>16</v>
      </c>
      <c r="Q103">
        <v>3.2</v>
      </c>
      <c r="R103">
        <v>6.2</v>
      </c>
      <c r="S103">
        <v>0.8</v>
      </c>
      <c r="T103">
        <v>3.4</v>
      </c>
      <c r="U103">
        <v>2.1</v>
      </c>
      <c r="V103">
        <v>3.44</v>
      </c>
      <c r="W103">
        <v>2.1</v>
      </c>
      <c r="X103">
        <v>0.63</v>
      </c>
      <c r="Y103">
        <v>1</v>
      </c>
      <c r="Z103">
        <v>0.62</v>
      </c>
      <c r="AA103">
        <v>0.5</v>
      </c>
      <c r="AB103">
        <v>1.82</v>
      </c>
      <c r="AC103">
        <v>2</v>
      </c>
      <c r="AD103">
        <v>0.85</v>
      </c>
      <c r="AE103">
        <v>1</v>
      </c>
      <c r="AF103">
        <v>0.4</v>
      </c>
      <c r="AM103" s="3">
        <f t="shared" si="7"/>
        <v>71.760000000000005</v>
      </c>
      <c r="AN103">
        <v>17</v>
      </c>
      <c r="AO103" s="4">
        <f t="shared" si="8"/>
        <v>4.2211764705882358</v>
      </c>
    </row>
    <row r="104" spans="1:42" x14ac:dyDescent="0.35">
      <c r="A104" t="s">
        <v>289</v>
      </c>
      <c r="C104" s="20"/>
      <c r="D104" s="1">
        <f>SUM(E104:AL104)</f>
        <v>0.74</v>
      </c>
      <c r="O104">
        <v>7.0000000000000007E-2</v>
      </c>
      <c r="U104">
        <v>0.3</v>
      </c>
      <c r="V104">
        <v>0.3</v>
      </c>
      <c r="W104">
        <v>7.0000000000000007E-2</v>
      </c>
      <c r="AM104" s="3">
        <f>SUM(E104:AL104)</f>
        <v>0.74</v>
      </c>
    </row>
    <row r="105" spans="1:42" x14ac:dyDescent="0.35">
      <c r="C105" s="22"/>
    </row>
    <row r="106" spans="1:42" x14ac:dyDescent="0.35">
      <c r="C106" s="22"/>
    </row>
    <row r="107" spans="1:42" x14ac:dyDescent="0.35">
      <c r="A107" s="1" t="s">
        <v>196</v>
      </c>
      <c r="C107" s="22"/>
    </row>
    <row r="108" spans="1:42" x14ac:dyDescent="0.35">
      <c r="A108" s="9" t="s">
        <v>76</v>
      </c>
      <c r="C108" s="22"/>
    </row>
    <row r="109" spans="1:42" x14ac:dyDescent="0.35">
      <c r="A109" t="s">
        <v>240</v>
      </c>
      <c r="B109" t="s">
        <v>77</v>
      </c>
      <c r="C109" s="20"/>
      <c r="D109" s="1">
        <f t="shared" ref="D109:D116" si="11">SUM(E109:AL109)</f>
        <v>176.02</v>
      </c>
      <c r="N109">
        <v>0.7</v>
      </c>
      <c r="P109">
        <v>1.32</v>
      </c>
      <c r="Q109">
        <v>0.8</v>
      </c>
      <c r="R109">
        <v>4.5999999999999996</v>
      </c>
      <c r="S109">
        <v>4.4000000000000004</v>
      </c>
      <c r="T109">
        <v>9</v>
      </c>
      <c r="U109">
        <v>7.8</v>
      </c>
      <c r="V109">
        <v>6.86</v>
      </c>
      <c r="W109">
        <v>7.7</v>
      </c>
      <c r="X109">
        <v>10.199999999999999</v>
      </c>
      <c r="Y109">
        <v>5.0999999999999996</v>
      </c>
      <c r="Z109">
        <v>9.0500000000000007</v>
      </c>
      <c r="AA109">
        <v>6.7</v>
      </c>
      <c r="AB109">
        <v>8.5</v>
      </c>
      <c r="AC109">
        <v>14.06</v>
      </c>
      <c r="AD109">
        <v>12.14</v>
      </c>
      <c r="AE109">
        <v>8.51</v>
      </c>
      <c r="AF109">
        <v>2.6</v>
      </c>
      <c r="AG109">
        <v>1.74</v>
      </c>
      <c r="AH109">
        <v>54.24</v>
      </c>
      <c r="AM109" s="3">
        <f t="shared" si="7"/>
        <v>176.02</v>
      </c>
      <c r="AN109">
        <v>16</v>
      </c>
      <c r="AO109" s="4">
        <f t="shared" si="8"/>
        <v>11.001250000000001</v>
      </c>
      <c r="AP109" t="s">
        <v>78</v>
      </c>
    </row>
    <row r="110" spans="1:42" x14ac:dyDescent="0.35">
      <c r="A110" t="s">
        <v>240</v>
      </c>
      <c r="B110" t="s">
        <v>79</v>
      </c>
      <c r="C110" s="21"/>
      <c r="D110" s="1">
        <f t="shared" si="11"/>
        <v>93.91</v>
      </c>
      <c r="P110">
        <v>3.2</v>
      </c>
      <c r="Q110">
        <v>3.5</v>
      </c>
      <c r="R110">
        <v>6</v>
      </c>
      <c r="S110">
        <v>1.5</v>
      </c>
      <c r="T110">
        <v>2.7</v>
      </c>
      <c r="U110">
        <v>5.74</v>
      </c>
      <c r="V110">
        <v>4</v>
      </c>
      <c r="W110">
        <v>7.4</v>
      </c>
      <c r="X110">
        <v>5.6</v>
      </c>
      <c r="Y110">
        <v>3.2</v>
      </c>
      <c r="Z110">
        <v>3.05</v>
      </c>
      <c r="AA110">
        <v>1.5</v>
      </c>
      <c r="AB110">
        <v>3.9</v>
      </c>
      <c r="AC110">
        <v>1.9</v>
      </c>
      <c r="AD110">
        <v>7.31</v>
      </c>
      <c r="AE110">
        <v>4.82</v>
      </c>
      <c r="AF110">
        <v>2.66</v>
      </c>
      <c r="AG110">
        <v>2.4500000000000002</v>
      </c>
      <c r="AI110">
        <v>23.48</v>
      </c>
      <c r="AM110" s="3">
        <f t="shared" si="7"/>
        <v>93.91</v>
      </c>
      <c r="AN110">
        <v>13.2</v>
      </c>
      <c r="AO110" s="4">
        <f t="shared" si="8"/>
        <v>7.1143939393939393</v>
      </c>
      <c r="AP110" t="s">
        <v>80</v>
      </c>
    </row>
    <row r="111" spans="1:42" x14ac:dyDescent="0.35">
      <c r="A111" t="s">
        <v>316</v>
      </c>
      <c r="B111" t="s">
        <v>81</v>
      </c>
      <c r="C111" s="21"/>
      <c r="D111" s="1">
        <f t="shared" si="11"/>
        <v>98.75</v>
      </c>
      <c r="N111">
        <v>2</v>
      </c>
      <c r="P111">
        <v>2.6</v>
      </c>
      <c r="Q111">
        <v>3</v>
      </c>
      <c r="R111">
        <v>4.8</v>
      </c>
      <c r="S111">
        <v>2.7</v>
      </c>
      <c r="T111">
        <v>4.9000000000000004</v>
      </c>
      <c r="U111">
        <v>4</v>
      </c>
      <c r="V111">
        <v>1.9</v>
      </c>
      <c r="W111">
        <v>3.8</v>
      </c>
      <c r="X111">
        <v>5.0999999999999996</v>
      </c>
      <c r="Y111">
        <v>4.0999999999999996</v>
      </c>
      <c r="Z111">
        <v>4</v>
      </c>
      <c r="AA111">
        <v>3.8</v>
      </c>
      <c r="AB111">
        <v>2.75</v>
      </c>
      <c r="AC111">
        <v>6.06</v>
      </c>
      <c r="AD111">
        <v>5.72</v>
      </c>
      <c r="AE111">
        <v>4.1399999999999997</v>
      </c>
      <c r="AF111">
        <v>6.4</v>
      </c>
      <c r="AG111">
        <v>2.12</v>
      </c>
      <c r="AI111">
        <v>24.86</v>
      </c>
      <c r="AM111" s="3">
        <f t="shared" si="7"/>
        <v>98.75</v>
      </c>
      <c r="AN111">
        <v>15.6</v>
      </c>
      <c r="AO111" s="4">
        <f t="shared" si="8"/>
        <v>6.3301282051282053</v>
      </c>
      <c r="AP111" t="s">
        <v>82</v>
      </c>
    </row>
    <row r="112" spans="1:42" x14ac:dyDescent="0.35">
      <c r="A112" t="s">
        <v>284</v>
      </c>
      <c r="B112" t="s">
        <v>83</v>
      </c>
      <c r="C112" s="21"/>
      <c r="D112" s="1">
        <f t="shared" si="11"/>
        <v>54.429999999999993</v>
      </c>
      <c r="P112">
        <v>0.88</v>
      </c>
      <c r="Q112">
        <v>1.2</v>
      </c>
      <c r="R112">
        <v>1.3</v>
      </c>
      <c r="S112">
        <v>0.6</v>
      </c>
      <c r="T112">
        <v>1</v>
      </c>
      <c r="U112">
        <v>2.17</v>
      </c>
      <c r="V112">
        <v>1.06</v>
      </c>
      <c r="W112">
        <v>3.1</v>
      </c>
      <c r="X112">
        <v>2.1</v>
      </c>
      <c r="Y112">
        <v>0.75</v>
      </c>
      <c r="Z112">
        <v>1.56</v>
      </c>
      <c r="AA112">
        <v>0.7</v>
      </c>
      <c r="AB112">
        <v>1.86</v>
      </c>
      <c r="AC112">
        <v>2.0699999999999998</v>
      </c>
      <c r="AD112">
        <v>3.15</v>
      </c>
      <c r="AE112">
        <v>2.5099999999999998</v>
      </c>
      <c r="AF112">
        <v>4.5</v>
      </c>
      <c r="AG112">
        <v>1.9</v>
      </c>
      <c r="AH112">
        <v>22.02</v>
      </c>
      <c r="AM112" s="3">
        <f t="shared" si="7"/>
        <v>54.429999999999993</v>
      </c>
      <c r="AN112">
        <v>14.4</v>
      </c>
      <c r="AO112" s="4">
        <f t="shared" si="8"/>
        <v>3.7798611111111104</v>
      </c>
      <c r="AP112" t="s">
        <v>84</v>
      </c>
    </row>
    <row r="113" spans="1:42" x14ac:dyDescent="0.35">
      <c r="A113" t="s">
        <v>285</v>
      </c>
      <c r="B113" t="s">
        <v>85</v>
      </c>
      <c r="C113" s="21"/>
      <c r="D113" s="1">
        <f t="shared" si="11"/>
        <v>57.19</v>
      </c>
      <c r="N113">
        <v>0.5</v>
      </c>
      <c r="P113">
        <v>0.7</v>
      </c>
      <c r="Q113">
        <v>0.8</v>
      </c>
      <c r="R113">
        <v>1.6</v>
      </c>
      <c r="S113">
        <v>0.5</v>
      </c>
      <c r="T113">
        <v>4</v>
      </c>
      <c r="U113">
        <v>3.86</v>
      </c>
      <c r="V113">
        <v>3</v>
      </c>
      <c r="W113">
        <v>4.5999999999999996</v>
      </c>
      <c r="X113">
        <v>3</v>
      </c>
      <c r="Y113">
        <v>2.5</v>
      </c>
      <c r="Z113">
        <v>2.2000000000000002</v>
      </c>
      <c r="AA113">
        <v>1.8</v>
      </c>
      <c r="AB113">
        <v>6.06</v>
      </c>
      <c r="AC113">
        <v>5.31</v>
      </c>
      <c r="AD113">
        <v>4.51</v>
      </c>
      <c r="AE113">
        <v>7.5</v>
      </c>
      <c r="AF113">
        <v>3.15</v>
      </c>
      <c r="AG113">
        <v>1.6</v>
      </c>
      <c r="AH113">
        <v>0</v>
      </c>
      <c r="AM113" s="3">
        <f t="shared" si="7"/>
        <v>57.19</v>
      </c>
      <c r="AN113">
        <v>18</v>
      </c>
      <c r="AO113" s="4">
        <f t="shared" si="8"/>
        <v>3.1772222222222219</v>
      </c>
      <c r="AP113" t="s">
        <v>86</v>
      </c>
    </row>
    <row r="114" spans="1:42" x14ac:dyDescent="0.35">
      <c r="A114" t="s">
        <v>286</v>
      </c>
      <c r="B114" t="s">
        <v>87</v>
      </c>
      <c r="C114" s="19"/>
      <c r="D114" s="1">
        <f t="shared" si="11"/>
        <v>0.04</v>
      </c>
      <c r="L114">
        <v>0.04</v>
      </c>
      <c r="AM114" s="3">
        <f t="shared" si="7"/>
        <v>0.04</v>
      </c>
      <c r="AN114">
        <v>10</v>
      </c>
      <c r="AO114" s="4">
        <f t="shared" si="8"/>
        <v>4.0000000000000001E-3</v>
      </c>
      <c r="AP114" t="s">
        <v>88</v>
      </c>
    </row>
    <row r="115" spans="1:42" x14ac:dyDescent="0.35">
      <c r="A115" t="s">
        <v>241</v>
      </c>
      <c r="B115" t="s">
        <v>89</v>
      </c>
      <c r="C115" s="19"/>
      <c r="D115" s="1">
        <f t="shared" si="11"/>
        <v>0.09</v>
      </c>
      <c r="O115">
        <v>0.04</v>
      </c>
      <c r="R115">
        <v>0.05</v>
      </c>
      <c r="AM115" s="3">
        <f t="shared" si="7"/>
        <v>0.09</v>
      </c>
      <c r="AN115">
        <v>10</v>
      </c>
      <c r="AO115" s="4">
        <f t="shared" si="8"/>
        <v>8.9999999999999993E-3</v>
      </c>
      <c r="AP115" t="s">
        <v>88</v>
      </c>
    </row>
    <row r="116" spans="1:42" x14ac:dyDescent="0.35">
      <c r="A116" t="s">
        <v>287</v>
      </c>
      <c r="C116" s="22"/>
      <c r="D116" s="1">
        <f t="shared" si="11"/>
        <v>4</v>
      </c>
      <c r="O116">
        <v>4</v>
      </c>
      <c r="AM116" s="3">
        <f t="shared" si="7"/>
        <v>4</v>
      </c>
    </row>
    <row r="117" spans="1:42" x14ac:dyDescent="0.35">
      <c r="C117" s="22"/>
    </row>
    <row r="118" spans="1:42" x14ac:dyDescent="0.35">
      <c r="C118" s="22"/>
    </row>
    <row r="119" spans="1:42" x14ac:dyDescent="0.35">
      <c r="A119" s="1" t="s">
        <v>197</v>
      </c>
      <c r="C119" s="22"/>
    </row>
    <row r="120" spans="1:42" x14ac:dyDescent="0.35">
      <c r="A120" s="1" t="s">
        <v>90</v>
      </c>
      <c r="C120" s="22"/>
    </row>
    <row r="121" spans="1:42" x14ac:dyDescent="0.35">
      <c r="A121" t="s">
        <v>243</v>
      </c>
      <c r="C121" s="22"/>
      <c r="D121" s="1">
        <f>SUM(E121:AL121)</f>
        <v>0</v>
      </c>
    </row>
    <row r="122" spans="1:42" x14ac:dyDescent="0.35">
      <c r="A122" t="s">
        <v>288</v>
      </c>
      <c r="C122" s="20"/>
      <c r="D122" s="1">
        <f>SUM(E122:AL122)</f>
        <v>8.69</v>
      </c>
      <c r="J122">
        <v>0.3</v>
      </c>
      <c r="K122">
        <v>0.1</v>
      </c>
      <c r="L122">
        <v>0.4</v>
      </c>
      <c r="M122">
        <v>0.8</v>
      </c>
      <c r="O122">
        <v>2.2000000000000002</v>
      </c>
      <c r="U122">
        <v>0.8</v>
      </c>
      <c r="V122">
        <v>1.2</v>
      </c>
      <c r="W122">
        <v>0.87</v>
      </c>
      <c r="X122">
        <v>1</v>
      </c>
      <c r="Z122">
        <v>0.56999999999999995</v>
      </c>
      <c r="AE122">
        <v>0.35</v>
      </c>
      <c r="AK122">
        <v>0.1</v>
      </c>
      <c r="AM122" s="3">
        <f t="shared" si="7"/>
        <v>8.69</v>
      </c>
      <c r="AN122">
        <v>25</v>
      </c>
      <c r="AO122" s="4">
        <f t="shared" si="8"/>
        <v>0.34759999999999996</v>
      </c>
      <c r="AP122" t="s">
        <v>91</v>
      </c>
    </row>
    <row r="125" spans="1:42" s="1" customFormat="1" x14ac:dyDescent="0.35">
      <c r="A125" s="18" t="s">
        <v>254</v>
      </c>
      <c r="C125" s="18"/>
      <c r="E125" s="10">
        <f t="shared" ref="E125:AM125" si="12">SUM(E6:E124)</f>
        <v>40</v>
      </c>
      <c r="F125" s="10">
        <f t="shared" si="12"/>
        <v>49.199999999999996</v>
      </c>
      <c r="G125" s="10">
        <f t="shared" si="12"/>
        <v>48.399999999999991</v>
      </c>
      <c r="H125" s="10">
        <f t="shared" si="12"/>
        <v>70.2</v>
      </c>
      <c r="I125" s="10">
        <f t="shared" si="12"/>
        <v>93.1</v>
      </c>
      <c r="J125" s="10">
        <f t="shared" si="12"/>
        <v>97.549999999999983</v>
      </c>
      <c r="K125" s="10">
        <f t="shared" si="12"/>
        <v>95.399999999999991</v>
      </c>
      <c r="L125" s="10">
        <f t="shared" si="12"/>
        <v>78.17</v>
      </c>
      <c r="M125" s="10">
        <f t="shared" si="12"/>
        <v>164.3</v>
      </c>
      <c r="N125" s="10">
        <f t="shared" si="12"/>
        <v>80.400000000000006</v>
      </c>
      <c r="O125" s="10">
        <f t="shared" si="12"/>
        <v>131.71</v>
      </c>
      <c r="P125" s="10">
        <f t="shared" si="12"/>
        <v>173.54999999999998</v>
      </c>
      <c r="Q125" s="10">
        <f t="shared" si="12"/>
        <v>70.100000000000009</v>
      </c>
      <c r="R125" s="10">
        <f t="shared" si="12"/>
        <v>179.95000000000002</v>
      </c>
      <c r="S125" s="10">
        <f t="shared" si="12"/>
        <v>30.599999999999998</v>
      </c>
      <c r="T125" s="10">
        <f t="shared" si="12"/>
        <v>118.86999999999999</v>
      </c>
      <c r="U125" s="10">
        <f t="shared" si="12"/>
        <v>90.169999999999987</v>
      </c>
      <c r="V125" s="10">
        <f t="shared" si="12"/>
        <v>111.55000000000001</v>
      </c>
      <c r="W125" s="10">
        <f t="shared" si="12"/>
        <v>78.709999999999994</v>
      </c>
      <c r="X125" s="10">
        <f t="shared" si="12"/>
        <v>120.47999999999998</v>
      </c>
      <c r="Y125" s="10">
        <f t="shared" si="12"/>
        <v>73.62</v>
      </c>
      <c r="Z125" s="10">
        <f t="shared" si="12"/>
        <v>110.30999999999999</v>
      </c>
      <c r="AA125" s="10">
        <f t="shared" si="12"/>
        <v>61.21</v>
      </c>
      <c r="AB125" s="10">
        <f t="shared" si="12"/>
        <v>82.84</v>
      </c>
      <c r="AC125" s="10">
        <f t="shared" si="12"/>
        <v>60.34</v>
      </c>
      <c r="AD125" s="10">
        <f t="shared" si="12"/>
        <v>75.560000000000016</v>
      </c>
      <c r="AE125" s="10">
        <f t="shared" si="12"/>
        <v>67.809999999999988</v>
      </c>
      <c r="AF125" s="10">
        <f t="shared" si="12"/>
        <v>55.39</v>
      </c>
      <c r="AG125" s="10">
        <f t="shared" si="12"/>
        <v>37.664999999999992</v>
      </c>
      <c r="AH125" s="10">
        <f t="shared" si="12"/>
        <v>108</v>
      </c>
      <c r="AI125" s="10">
        <f t="shared" si="12"/>
        <v>74.180000000000007</v>
      </c>
      <c r="AJ125" s="10">
        <f t="shared" si="12"/>
        <v>47.639999999999993</v>
      </c>
      <c r="AK125" s="10">
        <f t="shared" si="12"/>
        <v>52.500000000000007</v>
      </c>
      <c r="AL125" s="10">
        <f t="shared" si="12"/>
        <v>51.54</v>
      </c>
      <c r="AM125" s="10">
        <f t="shared" si="12"/>
        <v>2881.0149999999999</v>
      </c>
      <c r="AO125" s="3"/>
    </row>
    <row r="126" spans="1:42" s="1" customFormat="1" x14ac:dyDescent="0.35">
      <c r="A126" s="18"/>
      <c r="C126" s="18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O126" s="3"/>
    </row>
    <row r="127" spans="1:42" x14ac:dyDescent="0.35">
      <c r="A127" t="s">
        <v>331</v>
      </c>
      <c r="E127" s="2">
        <v>18</v>
      </c>
      <c r="F127">
        <v>20</v>
      </c>
      <c r="G127">
        <v>20</v>
      </c>
      <c r="H127">
        <v>18.5</v>
      </c>
      <c r="I127">
        <v>18</v>
      </c>
      <c r="J127">
        <v>20</v>
      </c>
      <c r="K127">
        <v>22</v>
      </c>
      <c r="L127">
        <v>18</v>
      </c>
      <c r="M127">
        <v>26</v>
      </c>
      <c r="N127">
        <v>17</v>
      </c>
      <c r="O127">
        <v>18</v>
      </c>
      <c r="P127">
        <v>22</v>
      </c>
      <c r="Q127">
        <v>9</v>
      </c>
      <c r="R127">
        <v>24</v>
      </c>
      <c r="S127">
        <v>6</v>
      </c>
      <c r="T127">
        <v>19</v>
      </c>
      <c r="U127">
        <v>19</v>
      </c>
      <c r="V127">
        <v>18</v>
      </c>
      <c r="W127">
        <v>19.5</v>
      </c>
      <c r="X127">
        <v>22</v>
      </c>
      <c r="Y127">
        <v>19</v>
      </c>
      <c r="Z127">
        <v>17</v>
      </c>
      <c r="AA127">
        <v>13</v>
      </c>
      <c r="AB127">
        <v>17</v>
      </c>
      <c r="AC127">
        <v>13</v>
      </c>
      <c r="AD127">
        <v>15</v>
      </c>
      <c r="AE127">
        <v>13</v>
      </c>
      <c r="AF127">
        <v>16</v>
      </c>
      <c r="AG127">
        <v>12</v>
      </c>
      <c r="AH127">
        <v>13</v>
      </c>
      <c r="AI127">
        <v>13</v>
      </c>
      <c r="AJ127">
        <v>16</v>
      </c>
      <c r="AK127">
        <v>13</v>
      </c>
      <c r="AL127">
        <v>11</v>
      </c>
      <c r="AM127" s="3">
        <f>SUM(E127:AL127)</f>
        <v>575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08EF2-9D8F-4C06-8D97-16FE6422E1EB}">
  <dimension ref="A1:AJ134"/>
  <sheetViews>
    <sheetView zoomScale="70" zoomScaleNormal="70" workbookViewId="0">
      <pane ySplit="2" topLeftCell="A3" activePane="bottomLeft" state="frozen"/>
      <selection activeCell="A2" sqref="A2"/>
      <selection pane="bottomLeft" activeCell="AE3" sqref="AE3"/>
    </sheetView>
  </sheetViews>
  <sheetFormatPr defaultRowHeight="14.5" x14ac:dyDescent="0.35"/>
  <cols>
    <col min="1" max="1" width="27.26953125" bestFit="1" customWidth="1"/>
    <col min="2" max="2" width="26.08984375" customWidth="1"/>
    <col min="3" max="3" width="13.6328125" bestFit="1" customWidth="1"/>
    <col min="4" max="4" width="7.08984375" style="1" bestFit="1" customWidth="1"/>
    <col min="5" max="5" width="7.08984375" bestFit="1" customWidth="1"/>
    <col min="21" max="30" width="9.1796875" customWidth="1"/>
    <col min="31" max="31" width="12.453125" style="1" bestFit="1" customWidth="1"/>
    <col min="32" max="32" width="10" bestFit="1" customWidth="1"/>
    <col min="33" max="33" width="9.1796875" style="4" customWidth="1"/>
    <col min="34" max="34" width="0" hidden="1" customWidth="1"/>
  </cols>
  <sheetData>
    <row r="1" spans="1:34" x14ac:dyDescent="0.35">
      <c r="A1" s="1" t="s">
        <v>186</v>
      </c>
      <c r="B1" s="1" t="s">
        <v>187</v>
      </c>
      <c r="C1" s="18" t="s">
        <v>249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1">
        <v>10</v>
      </c>
      <c r="O1" s="1">
        <v>11</v>
      </c>
      <c r="P1" s="1">
        <v>12</v>
      </c>
      <c r="R1" s="1">
        <v>13</v>
      </c>
      <c r="S1" s="1">
        <v>14</v>
      </c>
      <c r="U1" s="1">
        <v>15</v>
      </c>
      <c r="W1" s="1">
        <v>16</v>
      </c>
      <c r="X1" s="1"/>
      <c r="Y1" s="1">
        <v>17</v>
      </c>
      <c r="Z1" s="1"/>
      <c r="AA1" s="1">
        <v>18</v>
      </c>
      <c r="AB1" s="1"/>
      <c r="AC1" s="1">
        <v>19</v>
      </c>
      <c r="AD1" s="1"/>
      <c r="AE1" s="18" t="s">
        <v>328</v>
      </c>
      <c r="AF1" s="1" t="s">
        <v>252</v>
      </c>
      <c r="AG1" s="1" t="s">
        <v>329</v>
      </c>
      <c r="AH1" s="1" t="s">
        <v>330</v>
      </c>
    </row>
    <row r="2" spans="1:34" x14ac:dyDescent="0.35">
      <c r="A2" s="1"/>
      <c r="B2" s="1"/>
      <c r="C2" s="1" t="s">
        <v>250</v>
      </c>
      <c r="E2" s="1">
        <v>210601</v>
      </c>
      <c r="F2" s="1">
        <v>210608</v>
      </c>
      <c r="G2" s="1">
        <v>210615</v>
      </c>
      <c r="H2" s="1">
        <v>210622</v>
      </c>
      <c r="I2" s="1">
        <v>210629</v>
      </c>
      <c r="J2" s="1">
        <v>210706</v>
      </c>
      <c r="K2" s="1">
        <v>210713</v>
      </c>
      <c r="L2" s="1">
        <v>210720</v>
      </c>
      <c r="M2" s="1">
        <v>210727</v>
      </c>
      <c r="N2" s="1">
        <v>210803</v>
      </c>
      <c r="O2" s="1">
        <v>210810</v>
      </c>
      <c r="P2" s="1">
        <v>210817</v>
      </c>
      <c r="Q2" s="1">
        <v>210819</v>
      </c>
      <c r="R2" s="1">
        <v>210824</v>
      </c>
      <c r="S2" s="1">
        <v>210831</v>
      </c>
      <c r="T2" s="1">
        <v>210902</v>
      </c>
      <c r="U2" s="1">
        <v>210907</v>
      </c>
      <c r="V2" s="1">
        <v>210909</v>
      </c>
      <c r="W2" s="1">
        <v>210914</v>
      </c>
      <c r="X2" s="1">
        <v>210916</v>
      </c>
      <c r="Y2" s="1">
        <v>210921</v>
      </c>
      <c r="Z2" s="1">
        <v>210923</v>
      </c>
      <c r="AA2" s="1">
        <v>210928</v>
      </c>
      <c r="AB2" s="1">
        <v>210930</v>
      </c>
      <c r="AC2" s="1">
        <v>211005</v>
      </c>
      <c r="AD2" s="1">
        <v>211007</v>
      </c>
      <c r="AE2" s="1" t="s">
        <v>0</v>
      </c>
      <c r="AF2" s="1" t="s">
        <v>93</v>
      </c>
      <c r="AG2" s="1" t="s">
        <v>253</v>
      </c>
    </row>
    <row r="3" spans="1:34" x14ac:dyDescent="0.35">
      <c r="A3" s="1"/>
      <c r="B3" s="1"/>
      <c r="C3" s="18" t="s">
        <v>254</v>
      </c>
      <c r="D3" s="1" t="s">
        <v>0</v>
      </c>
      <c r="E3" s="1">
        <f t="shared" ref="E3:AD3" si="0">SUM(E6:E130)</f>
        <v>12.809999999999999</v>
      </c>
      <c r="F3" s="1">
        <f t="shared" si="0"/>
        <v>39.740000000000009</v>
      </c>
      <c r="G3" s="1">
        <f t="shared" si="0"/>
        <v>30.44</v>
      </c>
      <c r="H3" s="1">
        <f t="shared" si="0"/>
        <v>48.800000000000004</v>
      </c>
      <c r="I3" s="1">
        <f t="shared" si="0"/>
        <v>56.879999999999995</v>
      </c>
      <c r="J3" s="1">
        <f t="shared" si="0"/>
        <v>91.140000000000015</v>
      </c>
      <c r="K3" s="1">
        <f t="shared" si="0"/>
        <v>112.19999999999999</v>
      </c>
      <c r="L3" s="1">
        <f t="shared" si="0"/>
        <v>116.5</v>
      </c>
      <c r="M3" s="1">
        <f t="shared" si="0"/>
        <v>132.53999999999996</v>
      </c>
      <c r="N3" s="1">
        <f t="shared" si="0"/>
        <v>169.98</v>
      </c>
      <c r="O3" s="1">
        <f t="shared" si="0"/>
        <v>195.33000000000004</v>
      </c>
      <c r="P3" s="1">
        <f t="shared" si="0"/>
        <v>175.06999999999996</v>
      </c>
      <c r="Q3" s="1">
        <f t="shared" si="0"/>
        <v>67.669999999999987</v>
      </c>
      <c r="R3" s="1">
        <f t="shared" si="0"/>
        <v>212.11</v>
      </c>
      <c r="S3" s="1">
        <f t="shared" si="0"/>
        <v>195.95000000000005</v>
      </c>
      <c r="T3" s="1">
        <f t="shared" si="0"/>
        <v>114.69</v>
      </c>
      <c r="U3" s="1">
        <f t="shared" si="0"/>
        <v>178.65999999999997</v>
      </c>
      <c r="V3" s="1">
        <f t="shared" si="0"/>
        <v>128.99</v>
      </c>
      <c r="W3" s="1">
        <f t="shared" si="0"/>
        <v>181.97000000000003</v>
      </c>
      <c r="X3" s="1">
        <f t="shared" si="0"/>
        <v>132.71999999999997</v>
      </c>
      <c r="Y3" s="1">
        <f t="shared" si="0"/>
        <v>133.61999999999995</v>
      </c>
      <c r="Z3" s="1">
        <f t="shared" si="0"/>
        <v>91.659999999999982</v>
      </c>
      <c r="AA3" s="1">
        <f t="shared" si="0"/>
        <v>124.09</v>
      </c>
      <c r="AB3" s="1">
        <f t="shared" si="0"/>
        <v>99.010000000000019</v>
      </c>
      <c r="AC3" s="1">
        <f t="shared" si="0"/>
        <v>194.68</v>
      </c>
      <c r="AD3" s="1">
        <f t="shared" si="0"/>
        <v>182.94999999999996</v>
      </c>
      <c r="AE3" s="24">
        <f>SUM(E3:AD3)</f>
        <v>3220.2</v>
      </c>
      <c r="AF3" s="1"/>
      <c r="AG3" s="3"/>
    </row>
    <row r="4" spans="1:34" x14ac:dyDescent="0.35">
      <c r="A4" s="1" t="s">
        <v>190</v>
      </c>
      <c r="B4" s="1"/>
    </row>
    <row r="5" spans="1:34" x14ac:dyDescent="0.35">
      <c r="A5" s="1" t="s">
        <v>1</v>
      </c>
      <c r="B5" s="14"/>
      <c r="C5" s="1" t="s">
        <v>333</v>
      </c>
    </row>
    <row r="6" spans="1:34" x14ac:dyDescent="0.35">
      <c r="A6" t="s">
        <v>255</v>
      </c>
      <c r="B6" s="14" t="s">
        <v>2</v>
      </c>
      <c r="C6" s="8"/>
      <c r="AE6" s="1">
        <f>SUM(E6:AD6)</f>
        <v>0</v>
      </c>
      <c r="AF6">
        <v>4</v>
      </c>
      <c r="AG6" s="4">
        <f>AE6/AF6</f>
        <v>0</v>
      </c>
      <c r="AH6" t="s">
        <v>108</v>
      </c>
    </row>
    <row r="7" spans="1:34" x14ac:dyDescent="0.35">
      <c r="A7" t="s">
        <v>257</v>
      </c>
      <c r="B7" s="14" t="s">
        <v>109</v>
      </c>
      <c r="C7" s="12"/>
      <c r="D7" s="1">
        <f>SUM(E7:AD7)</f>
        <v>103.16999999999999</v>
      </c>
      <c r="H7">
        <v>1.97</v>
      </c>
      <c r="I7">
        <v>3.01</v>
      </c>
      <c r="J7">
        <f>2.64+4.45+0.91</f>
        <v>8</v>
      </c>
      <c r="K7">
        <v>7.83</v>
      </c>
      <c r="L7">
        <v>1.1299999999999999</v>
      </c>
      <c r="M7">
        <v>5.79</v>
      </c>
      <c r="O7">
        <f>4.1+3.89</f>
        <v>7.99</v>
      </c>
      <c r="P7">
        <v>5.4</v>
      </c>
      <c r="Q7">
        <f>1.28+2.13</f>
        <v>3.41</v>
      </c>
      <c r="S7">
        <f>3.52+3.43</f>
        <v>6.95</v>
      </c>
      <c r="T7">
        <v>5.18</v>
      </c>
      <c r="U7">
        <v>6.54</v>
      </c>
      <c r="V7">
        <v>9.86</v>
      </c>
      <c r="W7">
        <v>5.99</v>
      </c>
      <c r="Y7">
        <v>4.8099999999999996</v>
      </c>
      <c r="Z7">
        <v>2.42</v>
      </c>
      <c r="AA7">
        <v>5.75</v>
      </c>
      <c r="AB7">
        <v>2.96</v>
      </c>
      <c r="AC7">
        <v>4.49</v>
      </c>
      <c r="AD7">
        <v>3.69</v>
      </c>
      <c r="AE7" s="1">
        <f t="shared" ref="AE7:AE59" si="1">SUM(E7:AD7)</f>
        <v>103.16999999999999</v>
      </c>
      <c r="AF7">
        <v>20</v>
      </c>
      <c r="AG7" s="4">
        <f t="shared" ref="AG7:AG69" si="2">AE7/AF7</f>
        <v>5.1584999999999992</v>
      </c>
    </row>
    <row r="8" spans="1:34" x14ac:dyDescent="0.35">
      <c r="A8" s="14" t="s">
        <v>290</v>
      </c>
      <c r="B8" s="14" t="s">
        <v>110</v>
      </c>
      <c r="C8" s="12"/>
      <c r="D8" s="1">
        <f t="shared" ref="D8:D69" si="3">SUM(E8:AD8)</f>
        <v>40.410000000000004</v>
      </c>
      <c r="G8">
        <v>1.45</v>
      </c>
      <c r="H8">
        <v>3.03</v>
      </c>
      <c r="I8">
        <v>3.29</v>
      </c>
      <c r="J8">
        <v>4.68</v>
      </c>
      <c r="K8">
        <v>3.12</v>
      </c>
      <c r="L8">
        <v>0.34</v>
      </c>
      <c r="M8">
        <v>2.27</v>
      </c>
      <c r="N8">
        <v>2.4</v>
      </c>
      <c r="O8">
        <v>4.79</v>
      </c>
      <c r="Q8">
        <v>0.6</v>
      </c>
      <c r="R8">
        <v>4.33</v>
      </c>
      <c r="S8">
        <f>1.57</f>
        <v>1.57</v>
      </c>
      <c r="T8">
        <v>1.1200000000000001</v>
      </c>
      <c r="W8">
        <v>2.1</v>
      </c>
      <c r="X8">
        <v>1.28</v>
      </c>
      <c r="AA8">
        <v>1.1000000000000001</v>
      </c>
      <c r="AB8">
        <v>0.82</v>
      </c>
      <c r="AC8">
        <v>1.31</v>
      </c>
      <c r="AD8">
        <v>0.81</v>
      </c>
      <c r="AE8" s="1">
        <f t="shared" si="1"/>
        <v>40.410000000000004</v>
      </c>
      <c r="AF8">
        <v>5</v>
      </c>
      <c r="AG8" s="4">
        <f t="shared" si="2"/>
        <v>8.0820000000000007</v>
      </c>
    </row>
    <row r="9" spans="1:34" x14ac:dyDescent="0.35">
      <c r="A9" s="14" t="s">
        <v>256</v>
      </c>
      <c r="B9" s="14" t="s">
        <v>111</v>
      </c>
      <c r="C9" s="12"/>
      <c r="D9" s="1">
        <f t="shared" si="3"/>
        <v>42.400000000000006</v>
      </c>
      <c r="H9">
        <v>1.63</v>
      </c>
      <c r="I9">
        <v>1.58</v>
      </c>
      <c r="J9">
        <v>3.46</v>
      </c>
      <c r="K9">
        <v>4.3899999999999997</v>
      </c>
      <c r="L9">
        <v>0.37</v>
      </c>
      <c r="M9">
        <v>1.93</v>
      </c>
      <c r="N9">
        <v>2.88</v>
      </c>
      <c r="O9">
        <v>3.74</v>
      </c>
      <c r="Q9">
        <v>0.39</v>
      </c>
      <c r="R9">
        <v>3</v>
      </c>
      <c r="S9">
        <f>2.67</f>
        <v>2.67</v>
      </c>
      <c r="T9">
        <v>1.5</v>
      </c>
      <c r="W9">
        <v>1.89</v>
      </c>
      <c r="X9">
        <v>1.9</v>
      </c>
      <c r="Y9">
        <v>2.52</v>
      </c>
      <c r="Z9">
        <v>1.65</v>
      </c>
      <c r="AA9">
        <v>2.25</v>
      </c>
      <c r="AB9">
        <v>1.39</v>
      </c>
      <c r="AC9">
        <v>1.7</v>
      </c>
      <c r="AD9">
        <v>1.56</v>
      </c>
      <c r="AE9" s="1">
        <f t="shared" si="1"/>
        <v>42.400000000000006</v>
      </c>
      <c r="AF9">
        <v>15</v>
      </c>
      <c r="AG9" s="4">
        <f t="shared" si="2"/>
        <v>2.8266666666666671</v>
      </c>
    </row>
    <row r="10" spans="1:34" x14ac:dyDescent="0.35">
      <c r="A10" s="14" t="s">
        <v>6</v>
      </c>
      <c r="B10" s="14" t="s">
        <v>112</v>
      </c>
      <c r="C10" s="7"/>
      <c r="D10" s="1">
        <f t="shared" si="3"/>
        <v>63.609999999999992</v>
      </c>
      <c r="L10">
        <v>14.38</v>
      </c>
      <c r="M10">
        <v>18.98</v>
      </c>
      <c r="N10">
        <v>8.02</v>
      </c>
      <c r="O10">
        <v>1.1299999999999999</v>
      </c>
      <c r="Q10">
        <v>3.47</v>
      </c>
      <c r="S10">
        <f>2.9</f>
        <v>2.9</v>
      </c>
      <c r="T10">
        <v>2.33</v>
      </c>
      <c r="W10">
        <v>4.1900000000000004</v>
      </c>
      <c r="X10">
        <v>3.18</v>
      </c>
      <c r="AA10">
        <v>2.14</v>
      </c>
      <c r="AB10">
        <v>2.89</v>
      </c>
      <c r="AE10" s="1">
        <f t="shared" si="1"/>
        <v>63.609999999999992</v>
      </c>
      <c r="AF10">
        <v>21</v>
      </c>
      <c r="AG10" s="4">
        <f t="shared" si="2"/>
        <v>3.0290476190476188</v>
      </c>
    </row>
    <row r="11" spans="1:34" x14ac:dyDescent="0.35">
      <c r="A11" s="14" t="s">
        <v>199</v>
      </c>
      <c r="B11" s="14" t="s">
        <v>113</v>
      </c>
      <c r="C11" s="7"/>
      <c r="D11" s="1">
        <f t="shared" si="3"/>
        <v>38.71</v>
      </c>
      <c r="M11">
        <v>1.38</v>
      </c>
      <c r="N11">
        <v>3.93</v>
      </c>
      <c r="Q11">
        <v>3.11</v>
      </c>
      <c r="R11">
        <v>14.68</v>
      </c>
      <c r="U11">
        <v>4.0199999999999996</v>
      </c>
      <c r="V11">
        <v>2.79</v>
      </c>
      <c r="AA11">
        <v>1.95</v>
      </c>
      <c r="AB11">
        <v>2</v>
      </c>
      <c r="AC11">
        <v>3</v>
      </c>
      <c r="AD11">
        <v>1.85</v>
      </c>
      <c r="AE11" s="1">
        <f t="shared" si="1"/>
        <v>38.71</v>
      </c>
      <c r="AF11">
        <v>7</v>
      </c>
      <c r="AG11" s="4">
        <f t="shared" si="2"/>
        <v>5.53</v>
      </c>
      <c r="AH11" t="s">
        <v>114</v>
      </c>
    </row>
    <row r="12" spans="1:34" x14ac:dyDescent="0.35">
      <c r="A12" t="s">
        <v>200</v>
      </c>
      <c r="B12" s="14" t="s">
        <v>115</v>
      </c>
      <c r="C12" s="12"/>
      <c r="D12" s="1">
        <f t="shared" si="3"/>
        <v>87.72</v>
      </c>
      <c r="I12">
        <v>5.32</v>
      </c>
      <c r="J12">
        <v>5.97</v>
      </c>
      <c r="K12">
        <v>8.16</v>
      </c>
      <c r="L12">
        <f>11.48+9.44</f>
        <v>20.92</v>
      </c>
      <c r="M12">
        <v>9.94</v>
      </c>
      <c r="N12">
        <v>17.670000000000002</v>
      </c>
      <c r="O12">
        <v>9.0500000000000007</v>
      </c>
      <c r="P12">
        <v>9.69</v>
      </c>
      <c r="AC12">
        <v>1</v>
      </c>
      <c r="AE12" s="1">
        <f t="shared" si="1"/>
        <v>87.72</v>
      </c>
      <c r="AF12">
        <v>17</v>
      </c>
      <c r="AG12" s="4">
        <f t="shared" si="2"/>
        <v>5.16</v>
      </c>
    </row>
    <row r="13" spans="1:34" x14ac:dyDescent="0.35">
      <c r="A13" t="s">
        <v>263</v>
      </c>
      <c r="B13" s="14" t="s">
        <v>116</v>
      </c>
      <c r="C13" s="8"/>
      <c r="D13" s="1">
        <f t="shared" si="3"/>
        <v>10.75</v>
      </c>
      <c r="F13">
        <v>2</v>
      </c>
      <c r="G13">
        <v>3.95</v>
      </c>
      <c r="U13">
        <v>2.8</v>
      </c>
      <c r="V13">
        <v>2</v>
      </c>
      <c r="AE13" s="1">
        <f t="shared" si="1"/>
        <v>10.75</v>
      </c>
      <c r="AF13">
        <v>10</v>
      </c>
      <c r="AG13" s="4">
        <f t="shared" si="2"/>
        <v>1.075</v>
      </c>
    </row>
    <row r="14" spans="1:34" x14ac:dyDescent="0.35">
      <c r="A14" s="14" t="s">
        <v>12</v>
      </c>
      <c r="B14" s="14" t="s">
        <v>11</v>
      </c>
      <c r="C14" s="12"/>
      <c r="D14" s="1">
        <f t="shared" si="3"/>
        <v>25.969999999999995</v>
      </c>
      <c r="F14">
        <v>1.42</v>
      </c>
      <c r="Y14">
        <v>6.68</v>
      </c>
      <c r="Z14">
        <v>3.62</v>
      </c>
      <c r="AA14">
        <v>5.25</v>
      </c>
      <c r="AB14">
        <v>4.3099999999999996</v>
      </c>
      <c r="AC14">
        <v>2.81</v>
      </c>
      <c r="AD14">
        <v>1.88</v>
      </c>
      <c r="AE14" s="1">
        <f t="shared" si="1"/>
        <v>25.969999999999995</v>
      </c>
      <c r="AF14">
        <v>10</v>
      </c>
      <c r="AG14" s="4">
        <f t="shared" si="2"/>
        <v>2.5969999999999995</v>
      </c>
      <c r="AH14" t="s">
        <v>117</v>
      </c>
    </row>
    <row r="15" spans="1:34" x14ac:dyDescent="0.35">
      <c r="A15" t="s">
        <v>202</v>
      </c>
      <c r="B15" s="14" t="s">
        <v>13</v>
      </c>
      <c r="C15" s="8"/>
      <c r="D15" s="1">
        <f t="shared" si="3"/>
        <v>8.16</v>
      </c>
      <c r="H15">
        <v>6.96</v>
      </c>
      <c r="I15">
        <v>1.2</v>
      </c>
      <c r="AE15" s="1">
        <f t="shared" si="1"/>
        <v>8.16</v>
      </c>
      <c r="AF15">
        <v>5</v>
      </c>
      <c r="AG15" s="4">
        <f t="shared" si="2"/>
        <v>1.6320000000000001</v>
      </c>
      <c r="AH15" t="s">
        <v>118</v>
      </c>
    </row>
    <row r="16" spans="1:34" x14ac:dyDescent="0.35">
      <c r="A16" t="s">
        <v>267</v>
      </c>
      <c r="B16" s="14" t="s">
        <v>14</v>
      </c>
      <c r="C16" s="8"/>
      <c r="D16" s="1">
        <f t="shared" si="3"/>
        <v>10.35</v>
      </c>
      <c r="H16">
        <v>7.18</v>
      </c>
      <c r="I16">
        <v>3.17</v>
      </c>
      <c r="AE16" s="1">
        <f t="shared" si="1"/>
        <v>10.35</v>
      </c>
      <c r="AF16">
        <v>5</v>
      </c>
      <c r="AG16" s="4">
        <f t="shared" si="2"/>
        <v>2.0699999999999998</v>
      </c>
      <c r="AH16" t="s">
        <v>119</v>
      </c>
    </row>
    <row r="17" spans="1:36" x14ac:dyDescent="0.35">
      <c r="A17" t="s">
        <v>268</v>
      </c>
      <c r="B17" s="14" t="s">
        <v>15</v>
      </c>
      <c r="C17" s="12"/>
      <c r="D17" s="1">
        <f t="shared" si="3"/>
        <v>17.53</v>
      </c>
      <c r="U17">
        <v>2.38</v>
      </c>
      <c r="V17">
        <v>1.62</v>
      </c>
      <c r="AA17">
        <v>4.6100000000000003</v>
      </c>
      <c r="AB17">
        <v>2.91</v>
      </c>
      <c r="AC17">
        <v>3.5</v>
      </c>
      <c r="AD17">
        <v>2.5099999999999998</v>
      </c>
      <c r="AE17" s="1">
        <f t="shared" si="1"/>
        <v>17.53</v>
      </c>
      <c r="AF17">
        <v>5</v>
      </c>
      <c r="AG17" s="4">
        <f t="shared" si="2"/>
        <v>3.5060000000000002</v>
      </c>
    </row>
    <row r="18" spans="1:36" x14ac:dyDescent="0.35">
      <c r="A18" t="s">
        <v>203</v>
      </c>
      <c r="B18" s="14" t="s">
        <v>120</v>
      </c>
      <c r="C18" s="7"/>
      <c r="D18" s="1">
        <f t="shared" si="3"/>
        <v>7.3100000000000005</v>
      </c>
      <c r="E18">
        <v>2.73</v>
      </c>
      <c r="F18">
        <v>4.58</v>
      </c>
      <c r="AE18" s="1">
        <f t="shared" si="1"/>
        <v>7.3100000000000005</v>
      </c>
      <c r="AF18">
        <v>5</v>
      </c>
      <c r="AG18" s="4">
        <f t="shared" si="2"/>
        <v>1.4620000000000002</v>
      </c>
    </row>
    <row r="19" spans="1:36" x14ac:dyDescent="0.35">
      <c r="A19" s="14" t="s">
        <v>291</v>
      </c>
      <c r="B19" s="14" t="s">
        <v>332</v>
      </c>
      <c r="C19" s="7"/>
      <c r="D19" s="1">
        <f t="shared" si="3"/>
        <v>0.26</v>
      </c>
      <c r="L19">
        <v>0.26</v>
      </c>
      <c r="AE19" s="1">
        <f t="shared" si="1"/>
        <v>0.26</v>
      </c>
      <c r="AF19">
        <v>1</v>
      </c>
      <c r="AG19" s="4">
        <f t="shared" si="2"/>
        <v>0.26</v>
      </c>
    </row>
    <row r="20" spans="1:36" x14ac:dyDescent="0.35">
      <c r="A20" s="14" t="s">
        <v>292</v>
      </c>
      <c r="B20" s="14" t="s">
        <v>295</v>
      </c>
      <c r="C20" s="7"/>
      <c r="D20" s="1">
        <f t="shared" si="3"/>
        <v>11.41</v>
      </c>
      <c r="F20">
        <v>7.25</v>
      </c>
      <c r="H20">
        <v>4.16</v>
      </c>
      <c r="AE20" s="1">
        <f t="shared" si="1"/>
        <v>11.41</v>
      </c>
      <c r="AF20">
        <v>20</v>
      </c>
      <c r="AG20" s="4">
        <f t="shared" si="2"/>
        <v>0.57050000000000001</v>
      </c>
      <c r="AH20" t="s">
        <v>121</v>
      </c>
    </row>
    <row r="21" spans="1:36" x14ac:dyDescent="0.35">
      <c r="A21" s="14" t="s">
        <v>293</v>
      </c>
      <c r="B21" s="14" t="s">
        <v>294</v>
      </c>
      <c r="C21" s="7"/>
      <c r="D21" s="1">
        <f t="shared" si="3"/>
        <v>52.79</v>
      </c>
      <c r="E21">
        <v>5.12</v>
      </c>
      <c r="F21">
        <v>14.8</v>
      </c>
      <c r="G21">
        <v>15.77</v>
      </c>
      <c r="H21">
        <v>8.5299999999999994</v>
      </c>
      <c r="I21">
        <f>4.48+4.09</f>
        <v>8.57</v>
      </c>
      <c r="AE21" s="1">
        <f t="shared" si="1"/>
        <v>52.79</v>
      </c>
      <c r="AF21">
        <v>20</v>
      </c>
      <c r="AG21" s="4">
        <f t="shared" si="2"/>
        <v>2.6395</v>
      </c>
      <c r="AH21" t="s">
        <v>122</v>
      </c>
    </row>
    <row r="22" spans="1:36" x14ac:dyDescent="0.35">
      <c r="A22" s="14" t="s">
        <v>296</v>
      </c>
      <c r="B22" s="14"/>
      <c r="C22" s="7"/>
      <c r="D22" s="1">
        <f t="shared" si="3"/>
        <v>5.4499999999999993</v>
      </c>
      <c r="G22">
        <v>2</v>
      </c>
      <c r="H22">
        <v>1.8</v>
      </c>
      <c r="I22">
        <v>1.65</v>
      </c>
      <c r="AE22" s="1">
        <f t="shared" si="1"/>
        <v>5.4499999999999993</v>
      </c>
      <c r="AH22" t="s">
        <v>123</v>
      </c>
    </row>
    <row r="23" spans="1:36" x14ac:dyDescent="0.35">
      <c r="A23" s="14"/>
      <c r="B23" s="14"/>
    </row>
    <row r="24" spans="1:36" x14ac:dyDescent="0.35">
      <c r="A24" s="1" t="s">
        <v>188</v>
      </c>
      <c r="B24" s="14"/>
    </row>
    <row r="25" spans="1:36" x14ac:dyDescent="0.35">
      <c r="A25" s="13" t="s">
        <v>27</v>
      </c>
      <c r="B25" s="14"/>
    </row>
    <row r="26" spans="1:36" x14ac:dyDescent="0.35">
      <c r="A26" s="14" t="s">
        <v>297</v>
      </c>
      <c r="B26" s="14" t="s">
        <v>124</v>
      </c>
      <c r="C26" s="7"/>
      <c r="D26" s="1">
        <f t="shared" si="3"/>
        <v>72.25</v>
      </c>
      <c r="H26">
        <f>3.22+1.69</f>
        <v>4.91</v>
      </c>
      <c r="I26">
        <v>3.48</v>
      </c>
      <c r="J26">
        <v>4.72</v>
      </c>
      <c r="K26">
        <v>5.04</v>
      </c>
      <c r="L26">
        <v>3.83</v>
      </c>
      <c r="M26">
        <v>3.31</v>
      </c>
      <c r="N26">
        <v>2.61</v>
      </c>
      <c r="O26">
        <v>4.51</v>
      </c>
      <c r="Q26">
        <v>0.5</v>
      </c>
      <c r="R26">
        <v>2.5299999999999998</v>
      </c>
      <c r="S26">
        <f>1.45</f>
        <v>1.45</v>
      </c>
      <c r="T26">
        <v>5.25</v>
      </c>
      <c r="U26">
        <v>2.04</v>
      </c>
      <c r="V26">
        <f>1.31+1.29</f>
        <v>2.6</v>
      </c>
      <c r="W26">
        <v>6.14</v>
      </c>
      <c r="X26">
        <v>4.5599999999999996</v>
      </c>
      <c r="Y26">
        <v>2.1</v>
      </c>
      <c r="Z26">
        <v>1.58</v>
      </c>
      <c r="AA26">
        <v>1.75</v>
      </c>
      <c r="AB26">
        <v>1.1499999999999999</v>
      </c>
      <c r="AC26">
        <v>2.2999999999999998</v>
      </c>
      <c r="AD26">
        <f>1.4+4.49</f>
        <v>5.8900000000000006</v>
      </c>
      <c r="AE26" s="1">
        <f t="shared" si="1"/>
        <v>72.25</v>
      </c>
      <c r="AF26">
        <v>32</v>
      </c>
      <c r="AG26" s="4">
        <f t="shared" si="2"/>
        <v>2.2578125</v>
      </c>
      <c r="AH26" t="s">
        <v>125</v>
      </c>
      <c r="AJ26" s="15"/>
    </row>
    <row r="27" spans="1:36" x14ac:dyDescent="0.35">
      <c r="A27" s="14" t="s">
        <v>298</v>
      </c>
      <c r="B27" s="14" t="s">
        <v>97</v>
      </c>
      <c r="C27" s="7"/>
      <c r="D27" s="1">
        <f t="shared" si="3"/>
        <v>57.59</v>
      </c>
      <c r="E27">
        <v>0.6</v>
      </c>
      <c r="F27">
        <v>2.06</v>
      </c>
      <c r="G27">
        <v>3.4</v>
      </c>
      <c r="J27">
        <v>4.45</v>
      </c>
      <c r="K27">
        <v>4.74</v>
      </c>
      <c r="L27">
        <v>3.76</v>
      </c>
      <c r="M27">
        <v>3.01</v>
      </c>
      <c r="N27">
        <v>3.34</v>
      </c>
      <c r="O27">
        <v>4.24</v>
      </c>
      <c r="P27">
        <v>3.23</v>
      </c>
      <c r="Q27">
        <v>0.57999999999999996</v>
      </c>
      <c r="R27">
        <v>3.71</v>
      </c>
      <c r="S27">
        <v>2.38</v>
      </c>
      <c r="U27">
        <v>2.5299999999999998</v>
      </c>
      <c r="V27">
        <v>1.39</v>
      </c>
      <c r="X27">
        <v>2</v>
      </c>
      <c r="Y27">
        <v>2.7</v>
      </c>
      <c r="Z27">
        <v>2.0099999999999998</v>
      </c>
      <c r="AA27">
        <v>2.15</v>
      </c>
      <c r="AB27">
        <v>1.25</v>
      </c>
      <c r="AC27">
        <v>2.52</v>
      </c>
      <c r="AD27">
        <v>1.54</v>
      </c>
      <c r="AE27" s="1">
        <f t="shared" si="1"/>
        <v>57.59</v>
      </c>
      <c r="AF27">
        <v>28</v>
      </c>
      <c r="AG27" s="4">
        <f t="shared" si="2"/>
        <v>2.0567857142857142</v>
      </c>
      <c r="AH27" t="s">
        <v>126</v>
      </c>
    </row>
    <row r="28" spans="1:36" x14ac:dyDescent="0.35">
      <c r="A28" s="14" t="s">
        <v>208</v>
      </c>
      <c r="B28" s="14" t="s">
        <v>127</v>
      </c>
      <c r="C28" s="7"/>
      <c r="D28" s="1">
        <f t="shared" si="3"/>
        <v>2.87</v>
      </c>
      <c r="AA28">
        <v>0.71</v>
      </c>
      <c r="AB28">
        <v>0.65</v>
      </c>
      <c r="AC28">
        <v>0.6</v>
      </c>
      <c r="AD28">
        <v>0.91</v>
      </c>
      <c r="AE28" s="1">
        <f t="shared" si="1"/>
        <v>2.87</v>
      </c>
      <c r="AF28">
        <v>12</v>
      </c>
      <c r="AG28" s="4">
        <f t="shared" si="2"/>
        <v>0.23916666666666667</v>
      </c>
      <c r="AH28" t="s">
        <v>128</v>
      </c>
    </row>
    <row r="29" spans="1:36" x14ac:dyDescent="0.35">
      <c r="A29" s="14" t="s">
        <v>210</v>
      </c>
      <c r="B29" s="14" t="s">
        <v>129</v>
      </c>
      <c r="C29" s="7"/>
      <c r="D29" s="1">
        <f t="shared" si="3"/>
        <v>10.68</v>
      </c>
      <c r="Y29">
        <v>2.2999999999999998</v>
      </c>
      <c r="Z29">
        <v>2.1</v>
      </c>
      <c r="AA29">
        <v>1.89</v>
      </c>
      <c r="AB29">
        <v>1.27</v>
      </c>
      <c r="AC29">
        <v>2.12</v>
      </c>
      <c r="AD29">
        <v>1</v>
      </c>
      <c r="AE29" s="1">
        <f t="shared" si="1"/>
        <v>10.68</v>
      </c>
      <c r="AF29">
        <v>10</v>
      </c>
      <c r="AG29" s="4">
        <f t="shared" si="2"/>
        <v>1.0680000000000001</v>
      </c>
      <c r="AH29" t="s">
        <v>130</v>
      </c>
    </row>
    <row r="30" spans="1:36" x14ac:dyDescent="0.35">
      <c r="A30" s="14" t="s">
        <v>273</v>
      </c>
      <c r="B30" s="14" t="s">
        <v>31</v>
      </c>
      <c r="C30" s="12"/>
      <c r="D30" s="1">
        <f t="shared" si="3"/>
        <v>15.040000000000004</v>
      </c>
      <c r="E30">
        <v>0.66</v>
      </c>
      <c r="F30">
        <v>1.84</v>
      </c>
      <c r="I30">
        <v>0.78</v>
      </c>
      <c r="K30" t="s">
        <v>131</v>
      </c>
      <c r="P30">
        <v>1.3</v>
      </c>
      <c r="Q30">
        <v>0.42</v>
      </c>
      <c r="S30">
        <f>1.69</f>
        <v>1.69</v>
      </c>
      <c r="T30">
        <v>0.66</v>
      </c>
      <c r="U30">
        <v>1.31</v>
      </c>
      <c r="V30">
        <v>1.05</v>
      </c>
      <c r="W30">
        <v>0.89</v>
      </c>
      <c r="X30">
        <v>0.64</v>
      </c>
      <c r="Y30">
        <v>0.8</v>
      </c>
      <c r="Z30">
        <v>0.49</v>
      </c>
      <c r="AA30">
        <v>0.81</v>
      </c>
      <c r="AB30">
        <v>0.6</v>
      </c>
      <c r="AC30">
        <v>0.8</v>
      </c>
      <c r="AD30">
        <v>0.3</v>
      </c>
      <c r="AE30" s="1">
        <f t="shared" si="1"/>
        <v>15.040000000000004</v>
      </c>
      <c r="AF30">
        <v>20</v>
      </c>
      <c r="AG30" s="4">
        <f t="shared" si="2"/>
        <v>0.75200000000000022</v>
      </c>
    </row>
    <row r="31" spans="1:36" x14ac:dyDescent="0.35">
      <c r="A31" s="14" t="s">
        <v>299</v>
      </c>
      <c r="B31" s="14" t="s">
        <v>132</v>
      </c>
      <c r="C31" s="8"/>
      <c r="D31" s="1">
        <f t="shared" si="3"/>
        <v>2.48</v>
      </c>
      <c r="L31">
        <v>0.24</v>
      </c>
      <c r="N31">
        <v>0.35</v>
      </c>
      <c r="R31">
        <v>0.44</v>
      </c>
      <c r="U31">
        <v>0.78</v>
      </c>
      <c r="V31">
        <v>0.67</v>
      </c>
      <c r="AE31" s="1">
        <f t="shared" si="1"/>
        <v>2.48</v>
      </c>
      <c r="AF31">
        <v>4</v>
      </c>
      <c r="AG31" s="4">
        <f t="shared" si="2"/>
        <v>0.62</v>
      </c>
      <c r="AH31" t="s">
        <v>128</v>
      </c>
    </row>
    <row r="32" spans="1:36" x14ac:dyDescent="0.35">
      <c r="A32" s="14"/>
      <c r="B32" s="14"/>
    </row>
    <row r="33" spans="1:34" x14ac:dyDescent="0.35">
      <c r="A33" s="14"/>
      <c r="B33" s="14"/>
    </row>
    <row r="34" spans="1:34" x14ac:dyDescent="0.35">
      <c r="A34" s="1" t="s">
        <v>189</v>
      </c>
      <c r="B34" s="14"/>
    </row>
    <row r="35" spans="1:34" x14ac:dyDescent="0.35">
      <c r="A35" s="13" t="s">
        <v>32</v>
      </c>
      <c r="B35" s="14"/>
    </row>
    <row r="36" spans="1:34" x14ac:dyDescent="0.35">
      <c r="A36" s="14" t="s">
        <v>274</v>
      </c>
      <c r="B36" s="14" t="s">
        <v>33</v>
      </c>
      <c r="C36" s="12"/>
      <c r="D36" s="1">
        <f t="shared" si="3"/>
        <v>87.340000000000018</v>
      </c>
      <c r="N36">
        <v>4.47</v>
      </c>
      <c r="O36">
        <f>8.09+5.73+7.41</f>
        <v>21.23</v>
      </c>
      <c r="P36">
        <f>3.18+7.16</f>
        <v>10.34</v>
      </c>
      <c r="Q36">
        <v>4.8899999999999997</v>
      </c>
      <c r="R36">
        <v>5.78</v>
      </c>
      <c r="S36">
        <f>1.3+2.19</f>
        <v>3.49</v>
      </c>
      <c r="U36">
        <f>3.02+1.09</f>
        <v>4.1100000000000003</v>
      </c>
      <c r="W36">
        <f>1.17+3.76</f>
        <v>4.93</v>
      </c>
      <c r="Y36">
        <v>7.79</v>
      </c>
      <c r="Z36">
        <v>6.37</v>
      </c>
      <c r="AA36">
        <v>6.87</v>
      </c>
      <c r="AC36">
        <v>4.3899999999999997</v>
      </c>
      <c r="AD36">
        <v>2.68</v>
      </c>
      <c r="AE36" s="1">
        <f t="shared" si="1"/>
        <v>87.340000000000018</v>
      </c>
      <c r="AF36">
        <v>43</v>
      </c>
      <c r="AG36" s="4">
        <f t="shared" si="2"/>
        <v>2.031162790697675</v>
      </c>
    </row>
    <row r="37" spans="1:34" x14ac:dyDescent="0.35">
      <c r="A37" s="14" t="s">
        <v>276</v>
      </c>
      <c r="B37" s="14" t="s">
        <v>133</v>
      </c>
      <c r="C37" s="12"/>
      <c r="D37" s="1">
        <f t="shared" si="3"/>
        <v>72.569999999999993</v>
      </c>
      <c r="O37">
        <f>6.14+5.12</f>
        <v>11.26</v>
      </c>
      <c r="P37">
        <f>2.93+8.06+4.99</f>
        <v>15.98</v>
      </c>
      <c r="Q37">
        <v>3.36</v>
      </c>
      <c r="R37">
        <v>10.38</v>
      </c>
      <c r="S37">
        <f>3.28</f>
        <v>3.28</v>
      </c>
      <c r="T37">
        <f>4.58+4.93</f>
        <v>9.51</v>
      </c>
      <c r="U37">
        <f>3.8+2.43</f>
        <v>6.23</v>
      </c>
      <c r="X37">
        <v>3.7</v>
      </c>
      <c r="Y37">
        <v>5.52</v>
      </c>
      <c r="AB37">
        <v>3.35</v>
      </c>
      <c r="AE37" s="1">
        <f t="shared" si="1"/>
        <v>72.569999999999993</v>
      </c>
      <c r="AF37">
        <v>37</v>
      </c>
      <c r="AG37" s="4">
        <f t="shared" si="2"/>
        <v>1.9613513513513512</v>
      </c>
    </row>
    <row r="38" spans="1:34" x14ac:dyDescent="0.35">
      <c r="A38" s="14" t="s">
        <v>300</v>
      </c>
      <c r="B38" s="14" t="s">
        <v>134</v>
      </c>
      <c r="C38" s="8"/>
      <c r="D38" s="1">
        <f t="shared" si="3"/>
        <v>2</v>
      </c>
      <c r="V38">
        <v>0.55000000000000004</v>
      </c>
      <c r="AD38">
        <v>1.45</v>
      </c>
      <c r="AE38" s="1">
        <f t="shared" si="1"/>
        <v>2</v>
      </c>
      <c r="AF38">
        <v>5</v>
      </c>
      <c r="AG38" s="4">
        <f t="shared" si="2"/>
        <v>0.4</v>
      </c>
      <c r="AH38" t="s">
        <v>135</v>
      </c>
    </row>
    <row r="39" spans="1:34" x14ac:dyDescent="0.35">
      <c r="A39" s="14" t="s">
        <v>211</v>
      </c>
      <c r="B39" s="14" t="s">
        <v>37</v>
      </c>
      <c r="C39" s="7"/>
      <c r="D39" s="1">
        <f t="shared" si="3"/>
        <v>11.75</v>
      </c>
      <c r="M39">
        <v>2</v>
      </c>
      <c r="N39">
        <v>2.33</v>
      </c>
      <c r="P39">
        <v>3.8</v>
      </c>
      <c r="U39">
        <v>3.14</v>
      </c>
      <c r="V39">
        <v>0.48</v>
      </c>
      <c r="AE39" s="1">
        <f t="shared" si="1"/>
        <v>11.75</v>
      </c>
      <c r="AF39">
        <v>15</v>
      </c>
      <c r="AG39" s="4">
        <f t="shared" si="2"/>
        <v>0.78333333333333333</v>
      </c>
      <c r="AH39" t="s">
        <v>136</v>
      </c>
    </row>
    <row r="40" spans="1:34" x14ac:dyDescent="0.35">
      <c r="A40" s="14" t="s">
        <v>212</v>
      </c>
      <c r="B40" s="14" t="s">
        <v>38</v>
      </c>
      <c r="C40" s="12"/>
      <c r="D40" s="1">
        <f t="shared" si="3"/>
        <v>67.350000000000009</v>
      </c>
      <c r="F40">
        <v>0.27</v>
      </c>
      <c r="H40">
        <v>2.56</v>
      </c>
      <c r="I40">
        <v>8.42</v>
      </c>
      <c r="J40">
        <v>18.79</v>
      </c>
      <c r="K40">
        <v>6.74</v>
      </c>
      <c r="L40">
        <v>2.31</v>
      </c>
      <c r="M40">
        <v>6.62</v>
      </c>
      <c r="N40">
        <v>8.84</v>
      </c>
      <c r="O40">
        <f>1.5+1.28</f>
        <v>2.7800000000000002</v>
      </c>
      <c r="P40">
        <v>1.37</v>
      </c>
      <c r="Q40">
        <v>0.68</v>
      </c>
      <c r="R40">
        <v>2.27</v>
      </c>
      <c r="S40">
        <f>0.75</f>
        <v>0.75</v>
      </c>
      <c r="U40">
        <v>3</v>
      </c>
      <c r="V40">
        <v>1.66</v>
      </c>
      <c r="W40">
        <v>0.28999999999999998</v>
      </c>
      <c r="AE40" s="1">
        <f t="shared" si="1"/>
        <v>67.350000000000009</v>
      </c>
      <c r="AF40">
        <v>40</v>
      </c>
      <c r="AG40" s="4">
        <f t="shared" si="2"/>
        <v>1.6837500000000003</v>
      </c>
    </row>
    <row r="41" spans="1:34" x14ac:dyDescent="0.35">
      <c r="A41" s="14"/>
      <c r="B41" s="14"/>
    </row>
    <row r="42" spans="1:34" x14ac:dyDescent="0.35">
      <c r="A42" s="1" t="s">
        <v>191</v>
      </c>
      <c r="B42" s="14"/>
    </row>
    <row r="43" spans="1:34" x14ac:dyDescent="0.35">
      <c r="A43" s="13" t="s">
        <v>40</v>
      </c>
      <c r="B43" s="14"/>
    </row>
    <row r="44" spans="1:34" x14ac:dyDescent="0.35">
      <c r="A44" s="14" t="s">
        <v>213</v>
      </c>
      <c r="B44" s="14" t="s">
        <v>41</v>
      </c>
      <c r="C44" s="7"/>
      <c r="D44" s="1">
        <f t="shared" si="3"/>
        <v>0.59000000000000008</v>
      </c>
      <c r="I44">
        <v>0.12</v>
      </c>
      <c r="J44">
        <v>0.27</v>
      </c>
      <c r="K44">
        <v>0.2</v>
      </c>
      <c r="AE44" s="1">
        <f t="shared" si="1"/>
        <v>0.59000000000000008</v>
      </c>
      <c r="AF44">
        <v>2</v>
      </c>
      <c r="AG44" s="4">
        <f t="shared" si="2"/>
        <v>0.29500000000000004</v>
      </c>
      <c r="AH44" t="s">
        <v>137</v>
      </c>
    </row>
    <row r="45" spans="1:34" x14ac:dyDescent="0.35">
      <c r="A45" s="14" t="s">
        <v>301</v>
      </c>
      <c r="B45" s="14" t="s">
        <v>138</v>
      </c>
      <c r="C45" s="7"/>
      <c r="D45" s="1">
        <f t="shared" si="3"/>
        <v>0.76000000000000012</v>
      </c>
      <c r="M45">
        <v>0.27</v>
      </c>
      <c r="O45">
        <v>0.16</v>
      </c>
      <c r="P45">
        <v>0.18</v>
      </c>
      <c r="U45">
        <v>0.06</v>
      </c>
      <c r="AD45">
        <v>0.09</v>
      </c>
      <c r="AE45" s="1">
        <f t="shared" si="1"/>
        <v>0.76000000000000012</v>
      </c>
      <c r="AF45">
        <v>2</v>
      </c>
      <c r="AG45" s="4">
        <f t="shared" si="2"/>
        <v>0.38000000000000006</v>
      </c>
      <c r="AH45" t="s">
        <v>137</v>
      </c>
    </row>
    <row r="46" spans="1:34" x14ac:dyDescent="0.35">
      <c r="A46" s="14" t="s">
        <v>302</v>
      </c>
      <c r="B46" s="14" t="s">
        <v>42</v>
      </c>
      <c r="C46" s="12"/>
      <c r="D46" s="1">
        <f t="shared" si="3"/>
        <v>21.89</v>
      </c>
      <c r="H46">
        <v>0.33</v>
      </c>
      <c r="I46">
        <v>0.28999999999999998</v>
      </c>
      <c r="J46">
        <v>0.39</v>
      </c>
      <c r="K46">
        <v>0.52</v>
      </c>
      <c r="L46">
        <v>0.7</v>
      </c>
      <c r="M46">
        <v>0.9</v>
      </c>
      <c r="N46">
        <v>0.81</v>
      </c>
      <c r="O46">
        <v>0.9</v>
      </c>
      <c r="P46">
        <f>0.55+0.53</f>
        <v>1.08</v>
      </c>
      <c r="Q46">
        <v>0.26</v>
      </c>
      <c r="R46">
        <v>1.2</v>
      </c>
      <c r="S46">
        <f>0.95</f>
        <v>0.95</v>
      </c>
      <c r="T46">
        <v>0.54</v>
      </c>
      <c r="U46">
        <v>1.29</v>
      </c>
      <c r="V46">
        <v>1.1299999999999999</v>
      </c>
      <c r="W46">
        <v>1.6</v>
      </c>
      <c r="X46">
        <v>1.1000000000000001</v>
      </c>
      <c r="Y46">
        <v>1.83</v>
      </c>
      <c r="Z46">
        <v>1.01</v>
      </c>
      <c r="AA46">
        <v>1.67</v>
      </c>
      <c r="AB46">
        <v>0.91</v>
      </c>
      <c r="AC46">
        <v>1.53</v>
      </c>
      <c r="AD46">
        <v>0.95</v>
      </c>
      <c r="AE46" s="1">
        <f t="shared" si="1"/>
        <v>21.89</v>
      </c>
      <c r="AF46">
        <v>5</v>
      </c>
      <c r="AG46" s="4">
        <f t="shared" si="2"/>
        <v>4.3780000000000001</v>
      </c>
    </row>
    <row r="47" spans="1:34" x14ac:dyDescent="0.35">
      <c r="A47" s="14" t="s">
        <v>277</v>
      </c>
      <c r="B47" s="14" t="s">
        <v>43</v>
      </c>
      <c r="C47" s="12"/>
      <c r="D47" s="1">
        <f t="shared" si="3"/>
        <v>35.32</v>
      </c>
      <c r="R47">
        <v>14.22</v>
      </c>
      <c r="S47">
        <f>8.21</f>
        <v>8.2100000000000009</v>
      </c>
      <c r="T47">
        <v>7</v>
      </c>
      <c r="U47" s="1">
        <v>5.89</v>
      </c>
      <c r="AE47" s="1">
        <f t="shared" si="1"/>
        <v>35.32</v>
      </c>
      <c r="AF47">
        <v>4</v>
      </c>
      <c r="AG47" s="4">
        <f t="shared" si="2"/>
        <v>8.83</v>
      </c>
      <c r="AH47" t="s">
        <v>139</v>
      </c>
    </row>
    <row r="48" spans="1:34" x14ac:dyDescent="0.35">
      <c r="A48" s="14" t="s">
        <v>303</v>
      </c>
      <c r="B48" s="14" t="s">
        <v>44</v>
      </c>
      <c r="C48" s="12"/>
      <c r="D48" s="1">
        <f t="shared" si="3"/>
        <v>110.27</v>
      </c>
      <c r="J48">
        <v>4.49</v>
      </c>
      <c r="K48">
        <v>3.44</v>
      </c>
      <c r="L48">
        <v>3.34</v>
      </c>
      <c r="M48">
        <v>3.74</v>
      </c>
      <c r="N48">
        <v>10.64</v>
      </c>
      <c r="O48">
        <f>9.68+4.04</f>
        <v>13.719999999999999</v>
      </c>
      <c r="P48">
        <v>13.25</v>
      </c>
      <c r="Q48" s="1">
        <v>2.95</v>
      </c>
      <c r="R48">
        <v>10.34</v>
      </c>
      <c r="W48">
        <v>10.86</v>
      </c>
      <c r="X48">
        <v>10.72</v>
      </c>
      <c r="Y48">
        <v>9.18</v>
      </c>
      <c r="Z48">
        <v>5.18</v>
      </c>
      <c r="AA48">
        <v>6.42</v>
      </c>
      <c r="AB48">
        <v>2</v>
      </c>
      <c r="AE48" s="1">
        <f t="shared" si="1"/>
        <v>110.27</v>
      </c>
      <c r="AF48">
        <v>16</v>
      </c>
      <c r="AG48" s="4">
        <f t="shared" si="2"/>
        <v>6.8918749999999998</v>
      </c>
      <c r="AH48" t="s">
        <v>140</v>
      </c>
    </row>
    <row r="49" spans="1:34" x14ac:dyDescent="0.35">
      <c r="A49" s="14" t="s">
        <v>304</v>
      </c>
      <c r="B49" s="14" t="s">
        <v>141</v>
      </c>
      <c r="C49" s="12"/>
      <c r="D49" s="1">
        <f t="shared" si="3"/>
        <v>69.850000000000009</v>
      </c>
      <c r="J49">
        <v>3.68</v>
      </c>
      <c r="K49">
        <v>3.4</v>
      </c>
      <c r="L49">
        <v>3.54</v>
      </c>
      <c r="M49">
        <v>2.4</v>
      </c>
      <c r="U49">
        <v>11.52</v>
      </c>
      <c r="V49" s="1">
        <v>12.99</v>
      </c>
      <c r="W49">
        <v>9.7899999999999991</v>
      </c>
      <c r="X49">
        <v>14.05</v>
      </c>
      <c r="AC49">
        <v>5.2</v>
      </c>
      <c r="AD49">
        <v>3.28</v>
      </c>
      <c r="AE49" s="1">
        <f t="shared" si="1"/>
        <v>69.850000000000009</v>
      </c>
      <c r="AF49">
        <v>15</v>
      </c>
      <c r="AG49" s="4">
        <f t="shared" si="2"/>
        <v>4.6566666666666672</v>
      </c>
    </row>
    <row r="50" spans="1:34" x14ac:dyDescent="0.35">
      <c r="A50" s="14" t="s">
        <v>303</v>
      </c>
      <c r="B50" s="14" t="s">
        <v>46</v>
      </c>
      <c r="C50" s="12"/>
      <c r="D50" s="1">
        <f t="shared" si="3"/>
        <v>73.710000000000008</v>
      </c>
      <c r="S50">
        <f>8.21</f>
        <v>8.2100000000000009</v>
      </c>
      <c r="T50">
        <v>4.32</v>
      </c>
      <c r="U50">
        <v>12.52</v>
      </c>
      <c r="V50" s="1">
        <v>11.15</v>
      </c>
      <c r="W50">
        <v>14.03</v>
      </c>
      <c r="X50">
        <v>11.9</v>
      </c>
      <c r="Z50">
        <v>5.27</v>
      </c>
      <c r="AA50">
        <v>4.3099999999999996</v>
      </c>
      <c r="AB50">
        <v>2</v>
      </c>
      <c r="AE50" s="1">
        <f t="shared" si="1"/>
        <v>73.710000000000008</v>
      </c>
      <c r="AF50">
        <v>10</v>
      </c>
      <c r="AG50" s="4">
        <f t="shared" si="2"/>
        <v>7.3710000000000004</v>
      </c>
    </row>
    <row r="51" spans="1:34" x14ac:dyDescent="0.35">
      <c r="A51" s="14" t="s">
        <v>305</v>
      </c>
      <c r="B51" s="14" t="s">
        <v>142</v>
      </c>
      <c r="C51" s="12"/>
      <c r="D51" s="1">
        <f t="shared" si="3"/>
        <v>81.699999999999989</v>
      </c>
      <c r="V51">
        <v>4.18</v>
      </c>
      <c r="W51">
        <v>11.07</v>
      </c>
      <c r="Y51">
        <v>8.9</v>
      </c>
      <c r="Z51">
        <v>5.79</v>
      </c>
      <c r="AA51">
        <v>13.9</v>
      </c>
      <c r="AB51">
        <f>8.69+2.79+3.26</f>
        <v>14.74</v>
      </c>
      <c r="AC51">
        <v>5.41</v>
      </c>
      <c r="AD51">
        <f>4.15+3.87+4.73+4.96</f>
        <v>17.71</v>
      </c>
      <c r="AE51" s="1">
        <f t="shared" si="1"/>
        <v>81.699999999999989</v>
      </c>
      <c r="AF51">
        <v>20</v>
      </c>
      <c r="AG51" s="4">
        <f t="shared" si="2"/>
        <v>4.0849999999999991</v>
      </c>
      <c r="AH51" t="s">
        <v>185</v>
      </c>
    </row>
    <row r="52" spans="1:34" x14ac:dyDescent="0.35">
      <c r="A52" s="14" t="s">
        <v>216</v>
      </c>
      <c r="B52" s="14" t="s">
        <v>47</v>
      </c>
      <c r="C52" s="12"/>
      <c r="D52" s="1">
        <f t="shared" si="3"/>
        <v>47.169999999999995</v>
      </c>
      <c r="P52">
        <v>8.64</v>
      </c>
      <c r="Q52">
        <v>1.38</v>
      </c>
      <c r="S52">
        <f>6.34</f>
        <v>6.34</v>
      </c>
      <c r="T52">
        <v>6.16</v>
      </c>
      <c r="U52">
        <v>3.95</v>
      </c>
      <c r="V52">
        <v>5.0999999999999996</v>
      </c>
      <c r="W52">
        <v>4.05</v>
      </c>
      <c r="X52">
        <v>2.79</v>
      </c>
      <c r="Y52">
        <v>2.8</v>
      </c>
      <c r="Z52">
        <v>2.21</v>
      </c>
      <c r="AC52">
        <v>2.08</v>
      </c>
      <c r="AD52">
        <v>1.67</v>
      </c>
      <c r="AE52" s="1">
        <f t="shared" si="1"/>
        <v>47.169999999999995</v>
      </c>
      <c r="AF52">
        <v>20</v>
      </c>
      <c r="AG52" s="4">
        <f t="shared" si="2"/>
        <v>2.3584999999999998</v>
      </c>
      <c r="AH52" t="s">
        <v>143</v>
      </c>
    </row>
    <row r="53" spans="1:34" x14ac:dyDescent="0.35">
      <c r="A53" s="14" t="s">
        <v>217</v>
      </c>
      <c r="B53" s="14" t="s">
        <v>48</v>
      </c>
      <c r="C53" s="8"/>
      <c r="D53" s="1">
        <f t="shared" si="3"/>
        <v>1.37</v>
      </c>
      <c r="U53">
        <v>0.11</v>
      </c>
      <c r="V53">
        <v>0.3</v>
      </c>
      <c r="Y53">
        <v>0.18</v>
      </c>
      <c r="AC53">
        <v>0.4</v>
      </c>
      <c r="AD53">
        <v>0.38</v>
      </c>
      <c r="AE53" s="1">
        <f t="shared" si="1"/>
        <v>1.37</v>
      </c>
      <c r="AF53">
        <v>15</v>
      </c>
      <c r="AG53" s="4">
        <f t="shared" si="2"/>
        <v>9.1333333333333336E-2</v>
      </c>
      <c r="AH53" t="s">
        <v>144</v>
      </c>
    </row>
    <row r="54" spans="1:34" x14ac:dyDescent="0.35">
      <c r="A54" s="14" t="s">
        <v>306</v>
      </c>
      <c r="B54" s="14" t="s">
        <v>145</v>
      </c>
      <c r="C54" s="12"/>
      <c r="D54" s="1">
        <f t="shared" si="3"/>
        <v>61.89</v>
      </c>
      <c r="K54">
        <v>0.57999999999999996</v>
      </c>
      <c r="L54">
        <v>0.81</v>
      </c>
      <c r="M54">
        <v>1.28</v>
      </c>
      <c r="O54">
        <v>3.11</v>
      </c>
      <c r="R54">
        <v>8.3699999999999992</v>
      </c>
      <c r="U54">
        <v>2.98</v>
      </c>
      <c r="V54">
        <v>4.05</v>
      </c>
      <c r="W54">
        <v>4.45</v>
      </c>
      <c r="X54">
        <v>3.42</v>
      </c>
      <c r="Y54">
        <v>7.31</v>
      </c>
      <c r="Z54">
        <v>4.8</v>
      </c>
      <c r="AA54">
        <v>4.62</v>
      </c>
      <c r="AB54">
        <v>3.67</v>
      </c>
      <c r="AC54">
        <v>7.63</v>
      </c>
      <c r="AD54">
        <v>4.8099999999999996</v>
      </c>
      <c r="AE54" s="1">
        <f t="shared" si="1"/>
        <v>61.89</v>
      </c>
      <c r="AF54">
        <v>10</v>
      </c>
      <c r="AG54" s="4">
        <f t="shared" si="2"/>
        <v>6.1890000000000001</v>
      </c>
      <c r="AH54" t="s">
        <v>146</v>
      </c>
    </row>
    <row r="55" spans="1:34" x14ac:dyDescent="0.35">
      <c r="A55" s="14"/>
      <c r="B55" s="14"/>
    </row>
    <row r="56" spans="1:34" x14ac:dyDescent="0.35">
      <c r="A56" s="14"/>
      <c r="B56" s="14"/>
    </row>
    <row r="57" spans="1:34" x14ac:dyDescent="0.35">
      <c r="A57" s="13" t="s">
        <v>192</v>
      </c>
      <c r="B57" s="14"/>
    </row>
    <row r="58" spans="1:34" x14ac:dyDescent="0.35">
      <c r="A58" s="13" t="s">
        <v>49</v>
      </c>
      <c r="B58" s="14"/>
    </row>
    <row r="59" spans="1:34" x14ac:dyDescent="0.35">
      <c r="A59" s="14" t="s">
        <v>218</v>
      </c>
      <c r="B59" s="14" t="s">
        <v>147</v>
      </c>
      <c r="C59" s="8"/>
      <c r="D59" s="1">
        <f t="shared" si="3"/>
        <v>1.8400000000000003</v>
      </c>
      <c r="Q59">
        <v>0.19</v>
      </c>
      <c r="S59">
        <v>0.65</v>
      </c>
      <c r="T59">
        <v>0.34</v>
      </c>
      <c r="W59">
        <v>0.35</v>
      </c>
      <c r="X59">
        <v>0.31</v>
      </c>
      <c r="AE59" s="1">
        <f t="shared" si="1"/>
        <v>1.8400000000000003</v>
      </c>
      <c r="AF59">
        <v>15</v>
      </c>
      <c r="AG59" s="4">
        <f t="shared" si="2"/>
        <v>0.12266666666666669</v>
      </c>
      <c r="AH59" t="s">
        <v>148</v>
      </c>
    </row>
    <row r="60" spans="1:34" x14ac:dyDescent="0.35">
      <c r="A60" s="14" t="s">
        <v>218</v>
      </c>
      <c r="B60" s="14" t="s">
        <v>149</v>
      </c>
      <c r="C60" s="8"/>
      <c r="D60" s="1">
        <f t="shared" si="3"/>
        <v>0.76</v>
      </c>
      <c r="P60">
        <v>0.6</v>
      </c>
      <c r="Z60">
        <v>0.16</v>
      </c>
      <c r="AE60" s="1">
        <f t="shared" ref="AE60:AE102" si="4">SUM(E60:AD60)</f>
        <v>0.76</v>
      </c>
      <c r="AF60">
        <v>5</v>
      </c>
      <c r="AG60" s="4">
        <f t="shared" si="2"/>
        <v>0.152</v>
      </c>
      <c r="AH60" t="s">
        <v>148</v>
      </c>
    </row>
    <row r="61" spans="1:34" x14ac:dyDescent="0.35">
      <c r="A61" s="14"/>
      <c r="B61" s="14"/>
    </row>
    <row r="62" spans="1:34" x14ac:dyDescent="0.35">
      <c r="A62" s="14"/>
      <c r="B62" s="14"/>
    </row>
    <row r="63" spans="1:34" x14ac:dyDescent="0.35">
      <c r="A63" s="1" t="s">
        <v>193</v>
      </c>
      <c r="B63" s="14"/>
    </row>
    <row r="64" spans="1:34" x14ac:dyDescent="0.35">
      <c r="A64" s="13" t="s">
        <v>52</v>
      </c>
      <c r="B64" s="14"/>
    </row>
    <row r="65" spans="1:34" x14ac:dyDescent="0.35">
      <c r="A65" t="s">
        <v>219</v>
      </c>
      <c r="B65" s="14" t="s">
        <v>150</v>
      </c>
      <c r="C65" s="12"/>
      <c r="D65" s="1">
        <f t="shared" si="3"/>
        <v>120.48</v>
      </c>
      <c r="I65">
        <v>3.24</v>
      </c>
      <c r="J65">
        <v>4.05</v>
      </c>
      <c r="K65">
        <v>9.1199999999999992</v>
      </c>
      <c r="L65">
        <v>10.94</v>
      </c>
      <c r="M65">
        <v>12.2</v>
      </c>
      <c r="N65">
        <v>12.92</v>
      </c>
      <c r="O65">
        <f>10.38+4.22</f>
        <v>14.600000000000001</v>
      </c>
      <c r="Q65">
        <v>2.44</v>
      </c>
      <c r="R65">
        <v>11.59</v>
      </c>
      <c r="U65">
        <v>4.47</v>
      </c>
      <c r="V65">
        <v>4.24</v>
      </c>
      <c r="W65">
        <v>5.67</v>
      </c>
      <c r="Z65">
        <v>4.95</v>
      </c>
      <c r="AA65">
        <f>3.49+4.45</f>
        <v>7.94</v>
      </c>
      <c r="AB65">
        <v>3.34</v>
      </c>
      <c r="AC65">
        <v>5.54</v>
      </c>
      <c r="AD65">
        <v>3.23</v>
      </c>
      <c r="AE65" s="1">
        <f t="shared" si="4"/>
        <v>120.48</v>
      </c>
      <c r="AF65">
        <v>15</v>
      </c>
      <c r="AG65" s="4">
        <f t="shared" si="2"/>
        <v>8.032</v>
      </c>
      <c r="AH65" t="s">
        <v>140</v>
      </c>
    </row>
    <row r="66" spans="1:34" x14ac:dyDescent="0.35">
      <c r="A66" t="s">
        <v>219</v>
      </c>
      <c r="B66" s="14" t="s">
        <v>151</v>
      </c>
      <c r="C66" s="12"/>
      <c r="D66" s="1">
        <f t="shared" si="3"/>
        <v>89.309999999999988</v>
      </c>
      <c r="J66">
        <v>4.5199999999999996</v>
      </c>
      <c r="K66">
        <v>4.99</v>
      </c>
      <c r="L66">
        <v>6.06</v>
      </c>
      <c r="M66">
        <v>8.24</v>
      </c>
      <c r="N66">
        <v>7.41</v>
      </c>
      <c r="O66">
        <f>11.18+4.37</f>
        <v>15.55</v>
      </c>
      <c r="P66">
        <v>10.25</v>
      </c>
      <c r="Q66">
        <v>2.27</v>
      </c>
      <c r="S66">
        <f>6.88+0.35</f>
        <v>7.2299999999999995</v>
      </c>
      <c r="T66">
        <v>5.13</v>
      </c>
      <c r="X66">
        <v>5.38</v>
      </c>
      <c r="Y66">
        <v>4.41</v>
      </c>
      <c r="AA66">
        <v>4.0199999999999996</v>
      </c>
      <c r="AD66">
        <v>3.85</v>
      </c>
      <c r="AE66" s="1">
        <f t="shared" si="4"/>
        <v>89.309999999999988</v>
      </c>
      <c r="AF66">
        <v>15</v>
      </c>
      <c r="AG66" s="4">
        <f t="shared" si="2"/>
        <v>5.9539999999999988</v>
      </c>
      <c r="AH66" t="s">
        <v>152</v>
      </c>
    </row>
    <row r="67" spans="1:34" x14ac:dyDescent="0.35">
      <c r="A67" t="s">
        <v>220</v>
      </c>
      <c r="B67" s="14" t="s">
        <v>55</v>
      </c>
      <c r="C67" s="12"/>
      <c r="D67" s="1">
        <f t="shared" si="3"/>
        <v>83.94</v>
      </c>
      <c r="I67">
        <v>1.93</v>
      </c>
      <c r="J67">
        <v>3.3</v>
      </c>
      <c r="N67">
        <v>15.86</v>
      </c>
      <c r="O67">
        <f>6.96+5.01</f>
        <v>11.969999999999999</v>
      </c>
      <c r="P67">
        <v>10.07</v>
      </c>
      <c r="Q67">
        <v>2.1</v>
      </c>
      <c r="R67">
        <v>5.95</v>
      </c>
      <c r="S67">
        <f>4.6+0.32</f>
        <v>4.92</v>
      </c>
      <c r="T67">
        <v>3.62</v>
      </c>
      <c r="W67">
        <v>6.75</v>
      </c>
      <c r="Y67">
        <v>6.72</v>
      </c>
      <c r="Z67">
        <v>4.67</v>
      </c>
      <c r="AB67">
        <v>1.42</v>
      </c>
      <c r="AC67">
        <v>3.35</v>
      </c>
      <c r="AD67">
        <v>1.31</v>
      </c>
      <c r="AE67" s="1">
        <f t="shared" si="4"/>
        <v>83.94</v>
      </c>
      <c r="AF67">
        <v>15</v>
      </c>
      <c r="AG67" s="4">
        <f t="shared" si="2"/>
        <v>5.5960000000000001</v>
      </c>
      <c r="AH67" t="s">
        <v>152</v>
      </c>
    </row>
    <row r="68" spans="1:34" x14ac:dyDescent="0.35">
      <c r="A68" t="s">
        <v>221</v>
      </c>
      <c r="B68" s="14" t="s">
        <v>56</v>
      </c>
      <c r="C68" s="12"/>
      <c r="D68" s="1">
        <f t="shared" si="3"/>
        <v>74.620000000000019</v>
      </c>
      <c r="I68">
        <v>4.03</v>
      </c>
      <c r="J68">
        <v>4.8899999999999997</v>
      </c>
      <c r="K68">
        <v>10.130000000000001</v>
      </c>
      <c r="L68">
        <v>7.52</v>
      </c>
      <c r="M68">
        <v>7.35</v>
      </c>
      <c r="N68">
        <v>8.83</v>
      </c>
      <c r="O68">
        <f>5.95+5.05</f>
        <v>11</v>
      </c>
      <c r="P68">
        <v>6.13</v>
      </c>
      <c r="Q68">
        <v>2.83</v>
      </c>
      <c r="U68">
        <v>4.21</v>
      </c>
      <c r="V68">
        <v>4.1500000000000004</v>
      </c>
      <c r="X68">
        <v>1.62</v>
      </c>
      <c r="AA68">
        <v>1.1499999999999999</v>
      </c>
      <c r="AD68">
        <v>0.78</v>
      </c>
      <c r="AE68" s="1">
        <f t="shared" si="4"/>
        <v>74.620000000000019</v>
      </c>
      <c r="AF68">
        <v>15</v>
      </c>
      <c r="AG68" s="4">
        <f t="shared" si="2"/>
        <v>4.9746666666666677</v>
      </c>
      <c r="AH68" t="s">
        <v>140</v>
      </c>
    </row>
    <row r="69" spans="1:34" x14ac:dyDescent="0.35">
      <c r="A69" t="s">
        <v>307</v>
      </c>
      <c r="B69" s="14" t="s">
        <v>153</v>
      </c>
      <c r="C69" s="7"/>
      <c r="D69" s="1">
        <f t="shared" si="3"/>
        <v>11.530000000000001</v>
      </c>
      <c r="T69">
        <v>0.2</v>
      </c>
      <c r="U69">
        <v>2.06</v>
      </c>
      <c r="V69">
        <v>1.71</v>
      </c>
      <c r="W69">
        <v>1.75</v>
      </c>
      <c r="X69">
        <v>2.52</v>
      </c>
      <c r="Y69">
        <v>1.1299999999999999</v>
      </c>
      <c r="Z69">
        <v>0.85</v>
      </c>
      <c r="AC69">
        <v>0.85</v>
      </c>
      <c r="AD69">
        <v>0.46</v>
      </c>
      <c r="AE69" s="1">
        <f t="shared" si="4"/>
        <v>11.530000000000001</v>
      </c>
      <c r="AF69">
        <v>8</v>
      </c>
      <c r="AG69" s="4">
        <f t="shared" si="2"/>
        <v>1.4412500000000001</v>
      </c>
      <c r="AH69" t="s">
        <v>154</v>
      </c>
    </row>
    <row r="70" spans="1:34" x14ac:dyDescent="0.35">
      <c r="A70" t="s">
        <v>222</v>
      </c>
      <c r="B70" s="14" t="s">
        <v>58</v>
      </c>
      <c r="C70" s="7"/>
      <c r="D70" s="1">
        <f t="shared" ref="D70:D113" si="5">SUM(E70:AD70)</f>
        <v>6.7</v>
      </c>
      <c r="E70">
        <v>1.7</v>
      </c>
      <c r="F70">
        <v>5</v>
      </c>
      <c r="AE70" s="1">
        <f t="shared" si="4"/>
        <v>6.7</v>
      </c>
      <c r="AF70">
        <v>5</v>
      </c>
      <c r="AG70" s="4">
        <f t="shared" ref="AG70:AG102" si="6">AE70/AF70</f>
        <v>1.34</v>
      </c>
      <c r="AH70" t="s">
        <v>155</v>
      </c>
    </row>
    <row r="71" spans="1:34" x14ac:dyDescent="0.35">
      <c r="A71" t="s">
        <v>222</v>
      </c>
      <c r="B71" s="14" t="s">
        <v>156</v>
      </c>
      <c r="C71" s="7"/>
      <c r="D71" s="1">
        <f t="shared" si="5"/>
        <v>7.23</v>
      </c>
      <c r="G71">
        <v>1.52</v>
      </c>
      <c r="H71">
        <v>2.95</v>
      </c>
      <c r="V71">
        <v>1.41</v>
      </c>
      <c r="Y71">
        <v>1.35</v>
      </c>
      <c r="AE71" s="1">
        <f t="shared" si="4"/>
        <v>7.23</v>
      </c>
      <c r="AF71">
        <v>5</v>
      </c>
      <c r="AG71" s="4">
        <f t="shared" si="6"/>
        <v>1.4460000000000002</v>
      </c>
      <c r="AH71" t="s">
        <v>157</v>
      </c>
    </row>
    <row r="72" spans="1:34" x14ac:dyDescent="0.35">
      <c r="A72" t="s">
        <v>223</v>
      </c>
      <c r="B72" s="14" t="s">
        <v>59</v>
      </c>
      <c r="C72" s="12"/>
      <c r="D72" s="1">
        <f t="shared" si="5"/>
        <v>69.02</v>
      </c>
      <c r="G72">
        <v>0.89</v>
      </c>
      <c r="H72">
        <v>1.33</v>
      </c>
      <c r="I72">
        <v>1.56</v>
      </c>
      <c r="J72">
        <v>2.29</v>
      </c>
      <c r="K72">
        <v>5.71</v>
      </c>
      <c r="L72">
        <v>5.58</v>
      </c>
      <c r="M72">
        <v>3.31</v>
      </c>
      <c r="N72">
        <v>4.67</v>
      </c>
      <c r="O72">
        <v>6.13</v>
      </c>
      <c r="Q72">
        <v>2.9</v>
      </c>
      <c r="S72">
        <f>4.39</f>
        <v>4.3899999999999997</v>
      </c>
      <c r="T72">
        <v>2.38</v>
      </c>
      <c r="U72">
        <v>5.82</v>
      </c>
      <c r="V72">
        <v>3.43</v>
      </c>
      <c r="X72">
        <v>5.23</v>
      </c>
      <c r="AA72">
        <v>3.85</v>
      </c>
      <c r="AB72">
        <v>3.35</v>
      </c>
      <c r="AC72">
        <v>2.3199999999999998</v>
      </c>
      <c r="AD72">
        <v>3.88</v>
      </c>
      <c r="AE72" s="1">
        <f t="shared" si="4"/>
        <v>69.02</v>
      </c>
      <c r="AF72">
        <v>5</v>
      </c>
      <c r="AG72" s="4">
        <f t="shared" si="6"/>
        <v>13.803999999999998</v>
      </c>
    </row>
    <row r="73" spans="1:34" x14ac:dyDescent="0.35">
      <c r="A73" t="s">
        <v>224</v>
      </c>
      <c r="B73" s="14" t="s">
        <v>60</v>
      </c>
      <c r="C73" s="12"/>
      <c r="D73" s="1">
        <f t="shared" si="5"/>
        <v>72.450000000000017</v>
      </c>
      <c r="G73">
        <v>0.96</v>
      </c>
      <c r="H73">
        <v>1.46</v>
      </c>
      <c r="I73">
        <v>1.61</v>
      </c>
      <c r="J73">
        <v>2.23</v>
      </c>
      <c r="K73">
        <v>5.68</v>
      </c>
      <c r="M73">
        <v>3.96</v>
      </c>
      <c r="N73">
        <v>5.26</v>
      </c>
      <c r="O73">
        <v>5.28</v>
      </c>
      <c r="P73">
        <v>5.31</v>
      </c>
      <c r="Q73">
        <v>1.19</v>
      </c>
      <c r="R73">
        <v>5.65</v>
      </c>
      <c r="S73">
        <f>4.37</f>
        <v>4.37</v>
      </c>
      <c r="T73">
        <v>2.84</v>
      </c>
      <c r="V73">
        <v>4.79</v>
      </c>
      <c r="W73">
        <v>6.15</v>
      </c>
      <c r="X73">
        <v>2.52</v>
      </c>
      <c r="Y73">
        <v>2.7</v>
      </c>
      <c r="Z73">
        <v>3.27</v>
      </c>
      <c r="AA73">
        <v>1.39</v>
      </c>
      <c r="AB73">
        <v>0.68</v>
      </c>
      <c r="AC73">
        <v>2.65</v>
      </c>
      <c r="AD73">
        <v>2.5</v>
      </c>
      <c r="AE73" s="1">
        <f t="shared" si="4"/>
        <v>72.450000000000017</v>
      </c>
      <c r="AF73">
        <v>5</v>
      </c>
      <c r="AG73" s="4">
        <f t="shared" si="6"/>
        <v>14.490000000000004</v>
      </c>
    </row>
    <row r="74" spans="1:34" x14ac:dyDescent="0.35">
      <c r="A74" s="14"/>
      <c r="B74" s="14"/>
    </row>
    <row r="75" spans="1:34" x14ac:dyDescent="0.35">
      <c r="A75" s="14"/>
      <c r="B75" s="14"/>
    </row>
    <row r="76" spans="1:34" x14ac:dyDescent="0.35">
      <c r="A76" s="9" t="s">
        <v>194</v>
      </c>
      <c r="B76" s="14"/>
    </row>
    <row r="77" spans="1:34" x14ac:dyDescent="0.35">
      <c r="A77" s="13" t="s">
        <v>61</v>
      </c>
      <c r="B77" s="14"/>
    </row>
    <row r="78" spans="1:34" x14ac:dyDescent="0.35">
      <c r="A78" s="14" t="s">
        <v>279</v>
      </c>
      <c r="B78" s="14" t="s">
        <v>260</v>
      </c>
      <c r="C78" s="7"/>
      <c r="D78" s="1">
        <f t="shared" si="5"/>
        <v>142.17999999999995</v>
      </c>
      <c r="I78">
        <v>3.33</v>
      </c>
      <c r="J78">
        <v>10.37</v>
      </c>
      <c r="K78">
        <f>7.88+8.16+4.09</f>
        <v>20.13</v>
      </c>
      <c r="L78">
        <f>4.04+4+3.94+4.68+4.24</f>
        <v>20.9</v>
      </c>
      <c r="M78">
        <v>18.91</v>
      </c>
      <c r="N78">
        <v>32.630000000000003</v>
      </c>
      <c r="O78">
        <f>2.48+9.32+8.08</f>
        <v>19.880000000000003</v>
      </c>
      <c r="P78">
        <v>6.89</v>
      </c>
      <c r="R78">
        <v>3.2</v>
      </c>
      <c r="U78">
        <v>0.63</v>
      </c>
      <c r="V78">
        <v>0.42</v>
      </c>
      <c r="W78">
        <v>1.08</v>
      </c>
      <c r="X78">
        <v>0.6</v>
      </c>
      <c r="Y78">
        <v>0.57999999999999996</v>
      </c>
      <c r="Z78">
        <v>0.45</v>
      </c>
      <c r="AA78">
        <v>0.51</v>
      </c>
      <c r="AB78">
        <v>0.42</v>
      </c>
      <c r="AC78">
        <v>0.68</v>
      </c>
      <c r="AD78">
        <v>0.56999999999999995</v>
      </c>
      <c r="AE78" s="1">
        <f t="shared" si="4"/>
        <v>142.17999999999995</v>
      </c>
      <c r="AF78">
        <v>40</v>
      </c>
      <c r="AG78" s="4">
        <f t="shared" si="6"/>
        <v>3.5544999999999987</v>
      </c>
      <c r="AH78" t="s">
        <v>158</v>
      </c>
    </row>
    <row r="79" spans="1:34" x14ac:dyDescent="0.35">
      <c r="A79" t="s">
        <v>228</v>
      </c>
      <c r="B79" s="14" t="s">
        <v>260</v>
      </c>
      <c r="C79" s="7"/>
      <c r="D79" s="1">
        <f t="shared" si="5"/>
        <v>50.3</v>
      </c>
      <c r="K79">
        <v>8.18</v>
      </c>
      <c r="L79">
        <f>3.19+1.53+4.52</f>
        <v>9.2399999999999984</v>
      </c>
      <c r="M79">
        <v>10.78</v>
      </c>
      <c r="P79">
        <v>8.0500000000000007</v>
      </c>
      <c r="Q79">
        <v>1.9</v>
      </c>
      <c r="R79">
        <v>7.33</v>
      </c>
      <c r="S79">
        <f>4.57</f>
        <v>4.57</v>
      </c>
      <c r="T79">
        <v>0.25</v>
      </c>
      <c r="AE79" s="1">
        <f t="shared" si="4"/>
        <v>50.3</v>
      </c>
      <c r="AF79">
        <v>10</v>
      </c>
      <c r="AG79" s="4">
        <f t="shared" si="6"/>
        <v>5.0299999999999994</v>
      </c>
    </row>
    <row r="80" spans="1:34" x14ac:dyDescent="0.35">
      <c r="A80" s="14" t="s">
        <v>308</v>
      </c>
      <c r="B80" s="14" t="s">
        <v>260</v>
      </c>
      <c r="C80" s="12"/>
      <c r="D80" s="1">
        <f t="shared" si="5"/>
        <v>3.89</v>
      </c>
      <c r="K80">
        <v>0.1</v>
      </c>
      <c r="L80">
        <v>0.33</v>
      </c>
      <c r="M80">
        <v>0.19</v>
      </c>
      <c r="N80">
        <v>0.17</v>
      </c>
      <c r="O80">
        <v>0.36</v>
      </c>
      <c r="P80">
        <v>0.19</v>
      </c>
      <c r="Q80">
        <v>0.1</v>
      </c>
      <c r="R80">
        <v>0.2</v>
      </c>
      <c r="S80">
        <f>0.7</f>
        <v>0.7</v>
      </c>
      <c r="T80">
        <v>0.46</v>
      </c>
      <c r="U80">
        <v>0.24</v>
      </c>
      <c r="V80">
        <v>0.15</v>
      </c>
      <c r="AA80">
        <v>0.2</v>
      </c>
      <c r="AB80">
        <v>0.13</v>
      </c>
      <c r="AC80">
        <v>0.1</v>
      </c>
      <c r="AD80">
        <v>0.27</v>
      </c>
      <c r="AE80" s="1">
        <f t="shared" si="4"/>
        <v>3.89</v>
      </c>
      <c r="AF80">
        <v>5</v>
      </c>
      <c r="AG80" s="4">
        <f t="shared" si="6"/>
        <v>0.77800000000000002</v>
      </c>
      <c r="AH80" t="s">
        <v>159</v>
      </c>
    </row>
    <row r="81" spans="1:34" x14ac:dyDescent="0.35">
      <c r="A81" s="14"/>
      <c r="B81" s="14"/>
    </row>
    <row r="82" spans="1:34" x14ac:dyDescent="0.35">
      <c r="A82" s="14"/>
      <c r="B82" s="14"/>
    </row>
    <row r="83" spans="1:34" x14ac:dyDescent="0.35">
      <c r="A83" s="13" t="s">
        <v>309</v>
      </c>
      <c r="B83" s="14"/>
    </row>
    <row r="84" spans="1:34" x14ac:dyDescent="0.35">
      <c r="A84" s="13" t="s">
        <v>160</v>
      </c>
      <c r="B84" s="14"/>
    </row>
    <row r="85" spans="1:34" x14ac:dyDescent="0.35">
      <c r="A85" s="14" t="s">
        <v>310</v>
      </c>
      <c r="B85" s="14" t="s">
        <v>161</v>
      </c>
      <c r="C85" s="7"/>
      <c r="D85" s="1">
        <f t="shared" si="5"/>
        <v>6.419999999999999</v>
      </c>
      <c r="M85">
        <v>1.44</v>
      </c>
      <c r="N85">
        <v>1.42</v>
      </c>
      <c r="P85">
        <f>0.74+0.77</f>
        <v>1.51</v>
      </c>
      <c r="T85">
        <v>0.81</v>
      </c>
      <c r="W85">
        <v>0.52</v>
      </c>
      <c r="X85">
        <v>0.72</v>
      </c>
      <c r="AE85" s="1">
        <f t="shared" si="4"/>
        <v>6.419999999999999</v>
      </c>
      <c r="AF85">
        <v>10</v>
      </c>
      <c r="AG85" s="4">
        <f t="shared" si="6"/>
        <v>0.6419999999999999</v>
      </c>
    </row>
    <row r="86" spans="1:34" x14ac:dyDescent="0.35">
      <c r="A86" s="14"/>
      <c r="B86" s="14"/>
    </row>
    <row r="87" spans="1:34" x14ac:dyDescent="0.35">
      <c r="A87" s="14"/>
      <c r="B87" s="14"/>
    </row>
    <row r="88" spans="1:34" x14ac:dyDescent="0.35">
      <c r="A88" s="16" t="s">
        <v>311</v>
      </c>
      <c r="B88" s="14"/>
    </row>
    <row r="89" spans="1:34" x14ac:dyDescent="0.35">
      <c r="A89" s="16" t="s">
        <v>162</v>
      </c>
      <c r="B89" s="14"/>
    </row>
    <row r="90" spans="1:34" x14ac:dyDescent="0.35">
      <c r="A90" s="17" t="s">
        <v>312</v>
      </c>
      <c r="B90" s="14" t="s">
        <v>163</v>
      </c>
      <c r="C90" s="12"/>
      <c r="D90" s="1">
        <f t="shared" si="5"/>
        <v>1.17</v>
      </c>
      <c r="Q90">
        <v>0.08</v>
      </c>
      <c r="Y90">
        <v>0.57999999999999996</v>
      </c>
      <c r="Z90">
        <v>0.33</v>
      </c>
      <c r="AD90">
        <v>0.18</v>
      </c>
      <c r="AE90" s="1">
        <f t="shared" si="4"/>
        <v>1.17</v>
      </c>
      <c r="AF90">
        <v>8</v>
      </c>
      <c r="AG90" s="4">
        <f t="shared" si="6"/>
        <v>0.14624999999999999</v>
      </c>
      <c r="AH90" t="s">
        <v>164</v>
      </c>
    </row>
    <row r="91" spans="1:34" x14ac:dyDescent="0.35">
      <c r="A91" s="14" t="s">
        <v>313</v>
      </c>
      <c r="B91" s="14" t="s">
        <v>163</v>
      </c>
      <c r="C91" s="12"/>
      <c r="D91" s="1">
        <f t="shared" si="5"/>
        <v>5.97</v>
      </c>
      <c r="P91">
        <f>0.51+0.55</f>
        <v>1.06</v>
      </c>
      <c r="Q91">
        <v>0.39</v>
      </c>
      <c r="R91">
        <v>1.48</v>
      </c>
      <c r="T91">
        <v>0.31</v>
      </c>
      <c r="AA91">
        <v>0.89</v>
      </c>
      <c r="AB91">
        <v>0.81</v>
      </c>
      <c r="AC91">
        <v>0.45</v>
      </c>
      <c r="AD91">
        <v>0.57999999999999996</v>
      </c>
      <c r="AE91" s="1">
        <f t="shared" si="4"/>
        <v>5.97</v>
      </c>
      <c r="AF91">
        <v>5</v>
      </c>
      <c r="AG91" s="4">
        <f t="shared" si="6"/>
        <v>1.194</v>
      </c>
      <c r="AH91" t="s">
        <v>164</v>
      </c>
    </row>
    <row r="92" spans="1:34" x14ac:dyDescent="0.35">
      <c r="A92" s="14"/>
      <c r="B92" s="14"/>
    </row>
    <row r="93" spans="1:34" x14ac:dyDescent="0.35">
      <c r="A93" s="14"/>
      <c r="B93" s="14"/>
    </row>
    <row r="94" spans="1:34" x14ac:dyDescent="0.35">
      <c r="A94" s="9" t="s">
        <v>195</v>
      </c>
      <c r="B94" s="14"/>
    </row>
    <row r="95" spans="1:34" x14ac:dyDescent="0.35">
      <c r="A95" s="9" t="s">
        <v>67</v>
      </c>
      <c r="B95" s="14"/>
    </row>
    <row r="96" spans="1:34" x14ac:dyDescent="0.35">
      <c r="A96" t="s">
        <v>230</v>
      </c>
      <c r="B96" s="14" t="s">
        <v>165</v>
      </c>
      <c r="C96" s="8"/>
      <c r="D96" s="1">
        <f t="shared" si="5"/>
        <v>31.159999999999997</v>
      </c>
      <c r="P96">
        <v>1.99</v>
      </c>
      <c r="R96">
        <v>1.19</v>
      </c>
      <c r="S96">
        <f>6.2</f>
        <v>6.2</v>
      </c>
      <c r="T96">
        <v>3.41</v>
      </c>
      <c r="U96">
        <v>5.52</v>
      </c>
      <c r="V96">
        <v>2.41</v>
      </c>
      <c r="W96">
        <v>2.72</v>
      </c>
      <c r="X96">
        <v>1.75</v>
      </c>
      <c r="Y96">
        <v>0.95</v>
      </c>
      <c r="Z96">
        <v>1.17</v>
      </c>
      <c r="AA96">
        <v>0.91</v>
      </c>
      <c r="AB96">
        <v>0.95</v>
      </c>
      <c r="AC96">
        <v>0.69</v>
      </c>
      <c r="AD96">
        <v>1.3</v>
      </c>
      <c r="AE96" s="1">
        <f t="shared" si="4"/>
        <v>31.159999999999997</v>
      </c>
      <c r="AF96">
        <v>15</v>
      </c>
      <c r="AG96" s="4">
        <f t="shared" si="6"/>
        <v>2.0773333333333333</v>
      </c>
      <c r="AH96" t="s">
        <v>166</v>
      </c>
    </row>
    <row r="97" spans="1:34" x14ac:dyDescent="0.35">
      <c r="A97" t="s">
        <v>231</v>
      </c>
      <c r="B97" s="14" t="s">
        <v>167</v>
      </c>
      <c r="C97" s="8"/>
      <c r="D97" s="1">
        <f t="shared" si="5"/>
        <v>55.580000000000013</v>
      </c>
      <c r="N97">
        <v>4.2699999999999996</v>
      </c>
      <c r="O97">
        <f>4.92+0.36</f>
        <v>5.28</v>
      </c>
      <c r="P97">
        <f>5.35+0.62</f>
        <v>5.97</v>
      </c>
      <c r="Q97">
        <v>1.1200000000000001</v>
      </c>
      <c r="R97">
        <v>5.32</v>
      </c>
      <c r="S97">
        <f>9.18</f>
        <v>9.18</v>
      </c>
      <c r="T97">
        <v>3.1</v>
      </c>
      <c r="U97">
        <v>5.13</v>
      </c>
      <c r="V97">
        <v>3.02</v>
      </c>
      <c r="W97">
        <v>2.52</v>
      </c>
      <c r="X97">
        <v>1.56</v>
      </c>
      <c r="Y97">
        <v>2.4500000000000002</v>
      </c>
      <c r="Z97">
        <v>0.9</v>
      </c>
      <c r="AA97">
        <v>1.41</v>
      </c>
      <c r="AB97">
        <v>1.59</v>
      </c>
      <c r="AC97">
        <v>0.91</v>
      </c>
      <c r="AD97">
        <v>1.85</v>
      </c>
      <c r="AE97" s="1">
        <f t="shared" si="4"/>
        <v>55.580000000000013</v>
      </c>
      <c r="AF97">
        <v>15</v>
      </c>
      <c r="AG97" s="4">
        <f t="shared" si="6"/>
        <v>3.7053333333333343</v>
      </c>
      <c r="AH97" t="s">
        <v>168</v>
      </c>
    </row>
    <row r="98" spans="1:34" x14ac:dyDescent="0.35">
      <c r="A98" t="s">
        <v>280</v>
      </c>
      <c r="B98" s="14" t="s">
        <v>70</v>
      </c>
      <c r="C98" s="8"/>
      <c r="D98" s="1">
        <f t="shared" si="5"/>
        <v>8.4</v>
      </c>
      <c r="T98">
        <v>0.66</v>
      </c>
      <c r="U98">
        <v>0.34</v>
      </c>
      <c r="W98">
        <v>2.23</v>
      </c>
      <c r="Y98">
        <v>1</v>
      </c>
      <c r="AA98">
        <v>0.91</v>
      </c>
      <c r="AB98">
        <v>1.65</v>
      </c>
      <c r="AC98">
        <v>1.61</v>
      </c>
      <c r="AE98" s="1">
        <f t="shared" si="4"/>
        <v>8.4</v>
      </c>
      <c r="AF98">
        <v>10</v>
      </c>
      <c r="AG98" s="4">
        <f t="shared" si="6"/>
        <v>0.84000000000000008</v>
      </c>
      <c r="AH98" t="s">
        <v>169</v>
      </c>
    </row>
    <row r="99" spans="1:34" x14ac:dyDescent="0.35">
      <c r="A99" t="s">
        <v>281</v>
      </c>
      <c r="B99" s="14" t="s">
        <v>72</v>
      </c>
      <c r="C99" s="7"/>
      <c r="D99" s="1">
        <f t="shared" si="5"/>
        <v>72.849999999999994</v>
      </c>
      <c r="W99">
        <v>7.68</v>
      </c>
      <c r="X99">
        <f>3.25+3.66</f>
        <v>6.91</v>
      </c>
      <c r="Y99">
        <v>12.46</v>
      </c>
      <c r="Z99">
        <f>6.05+4.4</f>
        <v>10.45</v>
      </c>
      <c r="AA99">
        <v>7.2</v>
      </c>
      <c r="AB99">
        <v>5.65</v>
      </c>
      <c r="AC99">
        <v>8.9</v>
      </c>
      <c r="AD99">
        <f>3.65+9.95</f>
        <v>13.6</v>
      </c>
      <c r="AE99" s="1">
        <f t="shared" si="4"/>
        <v>72.849999999999994</v>
      </c>
      <c r="AF99">
        <v>20</v>
      </c>
      <c r="AG99" s="4">
        <f t="shared" si="6"/>
        <v>3.6424999999999996</v>
      </c>
    </row>
    <row r="100" spans="1:34" x14ac:dyDescent="0.35">
      <c r="A100" t="s">
        <v>236</v>
      </c>
      <c r="B100" s="14" t="s">
        <v>170</v>
      </c>
      <c r="C100" s="8"/>
      <c r="D100" s="1">
        <f t="shared" si="5"/>
        <v>0</v>
      </c>
      <c r="AF100">
        <v>20</v>
      </c>
      <c r="AG100" s="4">
        <f t="shared" si="6"/>
        <v>0</v>
      </c>
      <c r="AH100" t="s">
        <v>171</v>
      </c>
    </row>
    <row r="101" spans="1:34" x14ac:dyDescent="0.35">
      <c r="A101" t="s">
        <v>283</v>
      </c>
      <c r="B101" s="14" t="s">
        <v>74</v>
      </c>
      <c r="C101" s="7"/>
      <c r="D101" s="1">
        <f t="shared" si="5"/>
        <v>51.309999999999995</v>
      </c>
      <c r="P101">
        <v>7.44</v>
      </c>
      <c r="Q101">
        <v>2.6</v>
      </c>
      <c r="R101">
        <v>10.57</v>
      </c>
      <c r="S101">
        <f>1.5+6.29</f>
        <v>7.79</v>
      </c>
      <c r="T101">
        <v>1.7</v>
      </c>
      <c r="U101">
        <v>2.5</v>
      </c>
      <c r="V101">
        <v>1.35</v>
      </c>
      <c r="W101">
        <v>6.43</v>
      </c>
      <c r="X101">
        <v>3</v>
      </c>
      <c r="Y101">
        <v>1.8</v>
      </c>
      <c r="Z101">
        <v>0.5</v>
      </c>
      <c r="AA101">
        <v>1.2</v>
      </c>
      <c r="AB101">
        <v>1.2</v>
      </c>
      <c r="AC101">
        <v>0.69</v>
      </c>
      <c r="AD101">
        <v>2.54</v>
      </c>
      <c r="AE101" s="1">
        <f t="shared" si="4"/>
        <v>51.309999999999995</v>
      </c>
      <c r="AF101">
        <v>20</v>
      </c>
      <c r="AG101" s="4">
        <f t="shared" si="6"/>
        <v>2.5654999999999997</v>
      </c>
      <c r="AH101" t="s">
        <v>172</v>
      </c>
    </row>
    <row r="102" spans="1:34" x14ac:dyDescent="0.35">
      <c r="A102" t="s">
        <v>283</v>
      </c>
      <c r="B102" s="14" t="s">
        <v>173</v>
      </c>
      <c r="C102" s="7"/>
      <c r="D102" s="1">
        <f t="shared" si="5"/>
        <v>41.379999999999995</v>
      </c>
      <c r="R102">
        <f>3.47+5.86</f>
        <v>9.33</v>
      </c>
      <c r="S102">
        <f>2+4.22</f>
        <v>6.22</v>
      </c>
      <c r="T102">
        <v>2.2000000000000002</v>
      </c>
      <c r="U102">
        <v>3.69</v>
      </c>
      <c r="V102">
        <v>1.5</v>
      </c>
      <c r="W102">
        <v>5.85</v>
      </c>
      <c r="X102">
        <v>3.32</v>
      </c>
      <c r="Y102">
        <v>0.85</v>
      </c>
      <c r="Z102">
        <v>1.3</v>
      </c>
      <c r="AA102">
        <v>0.9</v>
      </c>
      <c r="AB102">
        <v>1.57</v>
      </c>
      <c r="AC102">
        <v>2.15</v>
      </c>
      <c r="AD102">
        <v>2.5</v>
      </c>
      <c r="AE102" s="1">
        <f t="shared" si="4"/>
        <v>41.379999999999995</v>
      </c>
      <c r="AF102">
        <v>20</v>
      </c>
      <c r="AG102" s="4">
        <f t="shared" si="6"/>
        <v>2.069</v>
      </c>
      <c r="AH102" t="s">
        <v>172</v>
      </c>
    </row>
    <row r="103" spans="1:34" x14ac:dyDescent="0.35">
      <c r="A103" s="14"/>
      <c r="B103" s="14"/>
    </row>
    <row r="104" spans="1:34" x14ac:dyDescent="0.35">
      <c r="A104" s="14"/>
      <c r="B104" s="14"/>
    </row>
    <row r="105" spans="1:34" x14ac:dyDescent="0.35">
      <c r="A105" s="1" t="s">
        <v>196</v>
      </c>
      <c r="B105" s="14"/>
    </row>
    <row r="106" spans="1:34" x14ac:dyDescent="0.35">
      <c r="A106" s="13" t="s">
        <v>76</v>
      </c>
      <c r="B106" s="14"/>
    </row>
    <row r="107" spans="1:34" x14ac:dyDescent="0.35">
      <c r="A107" s="17" t="s">
        <v>314</v>
      </c>
      <c r="B107" s="14"/>
      <c r="C107" s="7"/>
      <c r="D107" s="1">
        <f t="shared" si="5"/>
        <v>27.26</v>
      </c>
      <c r="M107">
        <v>2.34</v>
      </c>
      <c r="N107">
        <v>8.25</v>
      </c>
      <c r="O107">
        <f>8.56+8.11</f>
        <v>16.670000000000002</v>
      </c>
      <c r="AE107" s="1">
        <f t="shared" ref="AE107:AE134" si="7">SUM(E107:AD107)</f>
        <v>27.26</v>
      </c>
    </row>
    <row r="108" spans="1:34" x14ac:dyDescent="0.35">
      <c r="A108" s="14" t="s">
        <v>240</v>
      </c>
      <c r="B108" s="14" t="s">
        <v>77</v>
      </c>
      <c r="C108" s="12"/>
      <c r="D108" s="1">
        <f t="shared" si="5"/>
        <v>212.74</v>
      </c>
      <c r="P108">
        <v>0.6</v>
      </c>
      <c r="Q108">
        <v>8.2100000000000009</v>
      </c>
      <c r="R108">
        <f>9.67+11.8</f>
        <v>21.47</v>
      </c>
      <c r="S108">
        <f>20.2+10.93</f>
        <v>31.13</v>
      </c>
      <c r="T108">
        <v>9.7100000000000009</v>
      </c>
      <c r="U108">
        <f>10.56+13.23</f>
        <v>23.79</v>
      </c>
      <c r="V108">
        <v>14.12</v>
      </c>
      <c r="W108">
        <f>6.3+8.65</f>
        <v>14.95</v>
      </c>
      <c r="X108">
        <v>15.6</v>
      </c>
      <c r="Y108">
        <v>8.1300000000000008</v>
      </c>
      <c r="Z108">
        <v>4.71</v>
      </c>
      <c r="AA108">
        <v>5.0999999999999996</v>
      </c>
      <c r="AB108">
        <v>6.86</v>
      </c>
      <c r="AC108">
        <v>30</v>
      </c>
      <c r="AD108">
        <v>18.36</v>
      </c>
      <c r="AE108" s="1">
        <f t="shared" si="7"/>
        <v>212.74</v>
      </c>
      <c r="AF108">
        <v>18</v>
      </c>
      <c r="AG108" s="4">
        <f t="shared" ref="AG108:AG118" si="8">AE108/AF108</f>
        <v>11.818888888888889</v>
      </c>
      <c r="AH108" t="s">
        <v>174</v>
      </c>
    </row>
    <row r="109" spans="1:34" x14ac:dyDescent="0.35">
      <c r="A109" s="14" t="s">
        <v>240</v>
      </c>
      <c r="B109" s="14" t="s">
        <v>79</v>
      </c>
      <c r="C109" s="8"/>
      <c r="D109" s="1">
        <f t="shared" si="5"/>
        <v>66.720000000000013</v>
      </c>
      <c r="P109">
        <v>9.1</v>
      </c>
      <c r="Q109">
        <v>2.66</v>
      </c>
      <c r="R109">
        <f>4.35+3.55</f>
        <v>7.8999999999999995</v>
      </c>
      <c r="S109">
        <f>8.75+4.47</f>
        <v>13.219999999999999</v>
      </c>
      <c r="T109">
        <v>3.57</v>
      </c>
      <c r="U109">
        <v>2.5099999999999998</v>
      </c>
      <c r="V109">
        <v>1.95</v>
      </c>
      <c r="W109">
        <v>2.59</v>
      </c>
      <c r="X109">
        <v>0.99</v>
      </c>
      <c r="Y109">
        <v>1.38</v>
      </c>
      <c r="Z109">
        <v>1.31</v>
      </c>
      <c r="AA109">
        <v>1.1499999999999999</v>
      </c>
      <c r="AB109">
        <v>1.27</v>
      </c>
      <c r="AC109">
        <v>10</v>
      </c>
      <c r="AD109">
        <v>7.12</v>
      </c>
      <c r="AE109" s="1">
        <f t="shared" si="7"/>
        <v>66.720000000000013</v>
      </c>
      <c r="AF109">
        <v>10</v>
      </c>
      <c r="AG109" s="4">
        <f t="shared" si="8"/>
        <v>6.6720000000000015</v>
      </c>
      <c r="AH109" t="s">
        <v>175</v>
      </c>
    </row>
    <row r="110" spans="1:34" x14ac:dyDescent="0.35">
      <c r="A110" s="14" t="s">
        <v>315</v>
      </c>
      <c r="B110" s="14" t="s">
        <v>176</v>
      </c>
      <c r="C110" s="7"/>
      <c r="D110" s="1">
        <f t="shared" si="5"/>
        <v>86.870000000000019</v>
      </c>
      <c r="P110">
        <v>2.2000000000000002</v>
      </c>
      <c r="Q110">
        <v>0.61</v>
      </c>
      <c r="R110">
        <f>5.63+6.65</f>
        <v>12.280000000000001</v>
      </c>
      <c r="S110">
        <f>6.68</f>
        <v>6.68</v>
      </c>
      <c r="T110">
        <v>7.4</v>
      </c>
      <c r="U110">
        <v>9.82</v>
      </c>
      <c r="V110">
        <v>4.8</v>
      </c>
      <c r="W110">
        <v>8.06</v>
      </c>
      <c r="X110">
        <v>4.99</v>
      </c>
      <c r="Y110">
        <v>5.75</v>
      </c>
      <c r="Z110">
        <v>2.83</v>
      </c>
      <c r="AA110">
        <v>3.26</v>
      </c>
      <c r="AB110">
        <v>3.79</v>
      </c>
      <c r="AC110">
        <v>8</v>
      </c>
      <c r="AD110">
        <v>6.4</v>
      </c>
      <c r="AE110" s="1">
        <f t="shared" si="7"/>
        <v>86.870000000000019</v>
      </c>
      <c r="AF110">
        <v>10</v>
      </c>
      <c r="AG110" s="4">
        <f t="shared" si="8"/>
        <v>8.6870000000000012</v>
      </c>
      <c r="AH110" t="s">
        <v>175</v>
      </c>
    </row>
    <row r="111" spans="1:34" x14ac:dyDescent="0.35">
      <c r="A111" s="14" t="s">
        <v>316</v>
      </c>
      <c r="B111" s="14" t="s">
        <v>81</v>
      </c>
      <c r="C111" s="7"/>
      <c r="D111" s="1">
        <f t="shared" si="5"/>
        <v>105.44999999999999</v>
      </c>
      <c r="P111">
        <v>10.68</v>
      </c>
      <c r="Q111">
        <v>4.01</v>
      </c>
      <c r="R111">
        <f>4.37+5.3</f>
        <v>9.67</v>
      </c>
      <c r="S111">
        <f>5.5+9.75</f>
        <v>15.25</v>
      </c>
      <c r="T111">
        <v>10.66</v>
      </c>
      <c r="U111">
        <v>10.1</v>
      </c>
      <c r="V111">
        <v>4.0999999999999996</v>
      </c>
      <c r="W111">
        <v>5.99</v>
      </c>
      <c r="X111">
        <v>4.12</v>
      </c>
      <c r="Y111">
        <v>3</v>
      </c>
      <c r="Z111">
        <v>1.99</v>
      </c>
      <c r="AA111">
        <v>2.4900000000000002</v>
      </c>
      <c r="AB111">
        <v>2.57</v>
      </c>
      <c r="AC111">
        <v>14</v>
      </c>
      <c r="AD111">
        <v>6.82</v>
      </c>
      <c r="AE111" s="1">
        <f t="shared" si="7"/>
        <v>105.44999999999999</v>
      </c>
      <c r="AF111">
        <v>12</v>
      </c>
      <c r="AG111" s="4">
        <f t="shared" si="8"/>
        <v>8.7874999999999996</v>
      </c>
      <c r="AH111" t="s">
        <v>177</v>
      </c>
    </row>
    <row r="112" spans="1:34" x14ac:dyDescent="0.35">
      <c r="A112" t="s">
        <v>318</v>
      </c>
      <c r="B112" s="14" t="s">
        <v>178</v>
      </c>
      <c r="C112" s="12"/>
      <c r="D112" s="1">
        <f t="shared" si="5"/>
        <v>168.78999999999996</v>
      </c>
      <c r="P112">
        <f>3.66+3.37</f>
        <v>7.03</v>
      </c>
      <c r="Q112">
        <v>2.34</v>
      </c>
      <c r="R112">
        <f>4.8+6.74</f>
        <v>11.54</v>
      </c>
      <c r="S112">
        <f>9+5.33</f>
        <v>14.33</v>
      </c>
      <c r="T112">
        <v>7.37</v>
      </c>
      <c r="U112">
        <v>11.39</v>
      </c>
      <c r="V112">
        <v>8.77</v>
      </c>
      <c r="W112">
        <v>11.8</v>
      </c>
      <c r="X112">
        <v>4.92</v>
      </c>
      <c r="Y112">
        <v>9.48</v>
      </c>
      <c r="Z112">
        <v>4.46</v>
      </c>
      <c r="AA112">
        <v>8.2200000000000006</v>
      </c>
      <c r="AB112">
        <v>7.94</v>
      </c>
      <c r="AC112">
        <v>35</v>
      </c>
      <c r="AD112">
        <v>24.2</v>
      </c>
      <c r="AE112" s="1">
        <f t="shared" si="7"/>
        <v>168.78999999999996</v>
      </c>
      <c r="AF112">
        <v>20</v>
      </c>
      <c r="AG112" s="4">
        <f t="shared" si="8"/>
        <v>8.4394999999999989</v>
      </c>
      <c r="AH112" t="s">
        <v>172</v>
      </c>
    </row>
    <row r="113" spans="1:34" x14ac:dyDescent="0.35">
      <c r="A113" t="s">
        <v>284</v>
      </c>
      <c r="B113" s="14" t="s">
        <v>179</v>
      </c>
      <c r="C113" s="7"/>
      <c r="D113" s="1">
        <f t="shared" si="5"/>
        <v>87.36</v>
      </c>
      <c r="P113">
        <v>5.74</v>
      </c>
      <c r="Q113">
        <v>3.73</v>
      </c>
      <c r="R113">
        <f>2.44+3.75</f>
        <v>6.1899999999999995</v>
      </c>
      <c r="S113">
        <f>8.08</f>
        <v>8.08</v>
      </c>
      <c r="T113">
        <v>5</v>
      </c>
      <c r="U113">
        <v>8.5</v>
      </c>
      <c r="V113">
        <v>3.1</v>
      </c>
      <c r="W113">
        <v>6.61</v>
      </c>
      <c r="X113">
        <v>5.42</v>
      </c>
      <c r="Y113">
        <v>3.48</v>
      </c>
      <c r="Z113">
        <v>2.86</v>
      </c>
      <c r="AA113">
        <v>3.24</v>
      </c>
      <c r="AB113">
        <v>4.95</v>
      </c>
      <c r="AC113">
        <v>14</v>
      </c>
      <c r="AD113">
        <v>6.46</v>
      </c>
      <c r="AE113" s="1">
        <f t="shared" si="7"/>
        <v>87.36</v>
      </c>
      <c r="AF113">
        <v>10</v>
      </c>
      <c r="AG113" s="4">
        <f t="shared" si="8"/>
        <v>8.7360000000000007</v>
      </c>
      <c r="AH113" t="s">
        <v>180</v>
      </c>
    </row>
    <row r="114" spans="1:34" x14ac:dyDescent="0.35">
      <c r="A114" s="14"/>
      <c r="B114" s="14"/>
    </row>
    <row r="115" spans="1:34" x14ac:dyDescent="0.35">
      <c r="A115" s="14"/>
      <c r="B115" s="14"/>
    </row>
    <row r="116" spans="1:34" x14ac:dyDescent="0.35">
      <c r="A116" s="13" t="s">
        <v>319</v>
      </c>
      <c r="B116" s="14"/>
    </row>
    <row r="117" spans="1:34" x14ac:dyDescent="0.35">
      <c r="A117" s="13" t="s">
        <v>181</v>
      </c>
      <c r="B117" s="14"/>
    </row>
    <row r="118" spans="1:34" x14ac:dyDescent="0.35">
      <c r="A118" s="14" t="s">
        <v>320</v>
      </c>
      <c r="B118" s="14" t="s">
        <v>182</v>
      </c>
      <c r="C118" s="7"/>
      <c r="D118" s="1">
        <f t="shared" ref="D118:D130" si="9">SUM(E118:AD118)</f>
        <v>19.23</v>
      </c>
      <c r="AD118">
        <f>9.96+9.27</f>
        <v>19.23</v>
      </c>
      <c r="AE118" s="1">
        <f t="shared" si="7"/>
        <v>19.23</v>
      </c>
      <c r="AF118">
        <v>20</v>
      </c>
      <c r="AG118" s="4">
        <f t="shared" si="8"/>
        <v>0.96150000000000002</v>
      </c>
      <c r="AH118" t="s">
        <v>183</v>
      </c>
    </row>
    <row r="121" spans="1:34" x14ac:dyDescent="0.35">
      <c r="A121" s="1" t="s">
        <v>198</v>
      </c>
    </row>
    <row r="122" spans="1:34" x14ac:dyDescent="0.35">
      <c r="A122" t="s">
        <v>248</v>
      </c>
      <c r="D122" s="1">
        <f t="shared" si="9"/>
        <v>2</v>
      </c>
      <c r="E122">
        <v>2</v>
      </c>
      <c r="AE122" s="1">
        <f t="shared" si="7"/>
        <v>2</v>
      </c>
    </row>
    <row r="123" spans="1:34" x14ac:dyDescent="0.35">
      <c r="A123" t="s">
        <v>321</v>
      </c>
      <c r="D123" s="1">
        <f t="shared" si="9"/>
        <v>0</v>
      </c>
      <c r="E123">
        <v>0</v>
      </c>
      <c r="AE123" s="1">
        <f t="shared" si="7"/>
        <v>0</v>
      </c>
    </row>
    <row r="124" spans="1:34" x14ac:dyDescent="0.35">
      <c r="A124" t="s">
        <v>322</v>
      </c>
      <c r="D124" s="1">
        <f t="shared" si="9"/>
        <v>0.5</v>
      </c>
      <c r="G124">
        <v>0.5</v>
      </c>
      <c r="AE124" s="1">
        <f t="shared" si="7"/>
        <v>0.5</v>
      </c>
    </row>
    <row r="125" spans="1:34" x14ac:dyDescent="0.35">
      <c r="A125" t="s">
        <v>323</v>
      </c>
      <c r="D125" s="1">
        <f t="shared" si="9"/>
        <v>0.52</v>
      </c>
      <c r="F125">
        <v>0.52</v>
      </c>
      <c r="AE125" s="1">
        <f t="shared" si="7"/>
        <v>0.52</v>
      </c>
    </row>
    <row r="126" spans="1:34" x14ac:dyDescent="0.35">
      <c r="A126" t="s">
        <v>324</v>
      </c>
      <c r="D126" s="1">
        <f t="shared" si="9"/>
        <v>0.15</v>
      </c>
      <c r="I126">
        <v>0.15</v>
      </c>
      <c r="AE126" s="1">
        <f t="shared" si="7"/>
        <v>0.15</v>
      </c>
    </row>
    <row r="127" spans="1:34" x14ac:dyDescent="0.35">
      <c r="A127" t="s">
        <v>325</v>
      </c>
      <c r="D127" s="1">
        <f t="shared" si="9"/>
        <v>0.35</v>
      </c>
      <c r="I127">
        <v>0.15</v>
      </c>
      <c r="S127">
        <v>0.2</v>
      </c>
      <c r="AE127" s="1">
        <f t="shared" si="7"/>
        <v>0.35</v>
      </c>
    </row>
    <row r="128" spans="1:34" x14ac:dyDescent="0.35">
      <c r="A128" t="s">
        <v>326</v>
      </c>
      <c r="D128" s="1">
        <f t="shared" si="9"/>
        <v>0</v>
      </c>
      <c r="AE128" s="1">
        <f t="shared" si="7"/>
        <v>0</v>
      </c>
      <c r="AH128" t="s">
        <v>184</v>
      </c>
    </row>
    <row r="129" spans="1:36" x14ac:dyDescent="0.35">
      <c r="A129" t="s">
        <v>246</v>
      </c>
      <c r="D129" s="1">
        <f t="shared" si="9"/>
        <v>0.59</v>
      </c>
      <c r="J129">
        <v>0.59</v>
      </c>
      <c r="AE129" s="1">
        <f t="shared" si="7"/>
        <v>0.59</v>
      </c>
    </row>
    <row r="130" spans="1:36" x14ac:dyDescent="0.35">
      <c r="A130" t="s">
        <v>327</v>
      </c>
      <c r="D130" s="1">
        <f t="shared" si="9"/>
        <v>0.74</v>
      </c>
      <c r="U130">
        <v>0.74</v>
      </c>
      <c r="AE130" s="1">
        <f t="shared" si="7"/>
        <v>0.74</v>
      </c>
    </row>
    <row r="132" spans="1:36" x14ac:dyDescent="0.35">
      <c r="A132" s="18" t="s">
        <v>254</v>
      </c>
      <c r="B132" s="1"/>
      <c r="E132" s="1">
        <f t="shared" ref="E132:AD132" si="10">SUM(E6:E131)</f>
        <v>12.809999999999999</v>
      </c>
      <c r="F132" s="1">
        <f t="shared" si="10"/>
        <v>39.740000000000009</v>
      </c>
      <c r="G132" s="1">
        <f t="shared" si="10"/>
        <v>30.44</v>
      </c>
      <c r="H132" s="1">
        <f t="shared" si="10"/>
        <v>48.800000000000004</v>
      </c>
      <c r="I132" s="1">
        <f t="shared" si="10"/>
        <v>56.879999999999995</v>
      </c>
      <c r="J132" s="1">
        <f t="shared" si="10"/>
        <v>91.140000000000015</v>
      </c>
      <c r="K132" s="1">
        <f t="shared" si="10"/>
        <v>112.19999999999999</v>
      </c>
      <c r="L132" s="1">
        <f t="shared" si="10"/>
        <v>116.5</v>
      </c>
      <c r="M132" s="1">
        <f t="shared" si="10"/>
        <v>132.53999999999996</v>
      </c>
      <c r="N132" s="1">
        <f t="shared" si="10"/>
        <v>169.98</v>
      </c>
      <c r="O132" s="1">
        <f t="shared" si="10"/>
        <v>195.33000000000004</v>
      </c>
      <c r="P132" s="1">
        <f t="shared" si="10"/>
        <v>175.06999999999996</v>
      </c>
      <c r="Q132" s="1">
        <f t="shared" si="10"/>
        <v>67.669999999999987</v>
      </c>
      <c r="R132" s="1">
        <f t="shared" si="10"/>
        <v>212.11</v>
      </c>
      <c r="S132" s="1">
        <f t="shared" si="10"/>
        <v>195.95000000000005</v>
      </c>
      <c r="T132" s="1">
        <f t="shared" si="10"/>
        <v>114.69</v>
      </c>
      <c r="U132" s="1">
        <f t="shared" si="10"/>
        <v>178.65999999999997</v>
      </c>
      <c r="V132" s="1">
        <f t="shared" si="10"/>
        <v>128.99</v>
      </c>
      <c r="W132" s="1">
        <f t="shared" si="10"/>
        <v>181.97000000000003</v>
      </c>
      <c r="X132" s="1">
        <f t="shared" si="10"/>
        <v>132.71999999999997</v>
      </c>
      <c r="Y132" s="1">
        <f t="shared" si="10"/>
        <v>133.61999999999995</v>
      </c>
      <c r="Z132" s="1">
        <f t="shared" si="10"/>
        <v>91.659999999999982</v>
      </c>
      <c r="AA132" s="1">
        <f t="shared" si="10"/>
        <v>124.09</v>
      </c>
      <c r="AB132" s="1">
        <f t="shared" si="10"/>
        <v>99.010000000000019</v>
      </c>
      <c r="AC132" s="1">
        <f t="shared" si="10"/>
        <v>194.68</v>
      </c>
      <c r="AD132" s="1">
        <f t="shared" si="10"/>
        <v>182.94999999999996</v>
      </c>
      <c r="AE132" s="1">
        <f t="shared" si="7"/>
        <v>3220.2</v>
      </c>
      <c r="AF132" s="1"/>
      <c r="AG132" s="3"/>
      <c r="AH132" s="1"/>
      <c r="AI132" s="1"/>
      <c r="AJ132" s="1"/>
    </row>
    <row r="134" spans="1:36" x14ac:dyDescent="0.35">
      <c r="A134" t="s">
        <v>331</v>
      </c>
      <c r="E134">
        <v>6</v>
      </c>
      <c r="F134">
        <v>20</v>
      </c>
      <c r="G134">
        <v>20</v>
      </c>
      <c r="H134">
        <v>25</v>
      </c>
      <c r="I134">
        <v>18</v>
      </c>
      <c r="J134">
        <v>35</v>
      </c>
      <c r="K134">
        <v>38</v>
      </c>
      <c r="L134">
        <v>32</v>
      </c>
      <c r="M134">
        <v>39</v>
      </c>
      <c r="N134">
        <v>36</v>
      </c>
      <c r="O134">
        <v>41</v>
      </c>
      <c r="P134">
        <v>39</v>
      </c>
      <c r="Q134">
        <v>11</v>
      </c>
      <c r="R134">
        <v>40</v>
      </c>
      <c r="S134">
        <v>41</v>
      </c>
      <c r="T134">
        <v>28</v>
      </c>
      <c r="U134">
        <v>39</v>
      </c>
      <c r="V134">
        <v>27</v>
      </c>
      <c r="W134">
        <v>35</v>
      </c>
      <c r="X134">
        <v>25</v>
      </c>
      <c r="Y134">
        <v>36</v>
      </c>
      <c r="Z134">
        <v>20</v>
      </c>
      <c r="AA134">
        <v>36</v>
      </c>
      <c r="AB134">
        <v>25</v>
      </c>
      <c r="AC134">
        <v>38</v>
      </c>
      <c r="AD134">
        <v>31</v>
      </c>
      <c r="AE134" s="1">
        <f t="shared" si="7"/>
        <v>781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Harvest 2019</vt:lpstr>
      <vt:lpstr>Harvest 2020</vt:lpstr>
      <vt:lpstr>Harvest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Klara Hansson</dc:creator>
  <cp:lastModifiedBy>Klara Hansson</cp:lastModifiedBy>
  <dcterms:created xsi:type="dcterms:W3CDTF">2021-11-24T16:09:44Z</dcterms:created>
  <dcterms:modified xsi:type="dcterms:W3CDTF">2021-12-17T08:32:27Z</dcterms:modified>
</cp:coreProperties>
</file>